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5880" windowWidth="19260" windowHeight="6780" tabRatio="731" activeTab="0"/>
  </bookViews>
  <sheets>
    <sheet name="Instructions" sheetId="1" r:id="rId1"/>
    <sheet name="General Info" sheetId="2" r:id="rId2"/>
    <sheet name="Buildings" sheetId="3" r:id="rId3"/>
    <sheet name="Vehicle Fleet" sheetId="4" r:id="rId4"/>
    <sheet name="Streetlights" sheetId="5" r:id="rId5"/>
    <sheet name="Water &amp; Sewage" sheetId="6" r:id="rId6"/>
    <sheet name="Waste" sheetId="7" r:id="rId7"/>
    <sheet name="Corporate Summary" sheetId="8" r:id="rId8"/>
    <sheet name="Corp BAU" sheetId="9" r:id="rId9"/>
    <sheet name="Residential" sheetId="10" r:id="rId10"/>
    <sheet name="Commercial" sheetId="11" r:id="rId11"/>
    <sheet name="Industrial" sheetId="12" r:id="rId12"/>
    <sheet name="Transportation" sheetId="13" r:id="rId13"/>
    <sheet name="Com. Waste" sheetId="14" r:id="rId14"/>
    <sheet name="Community Summary" sheetId="15" r:id="rId15"/>
    <sheet name="Comm BAU" sheetId="16" r:id="rId16"/>
    <sheet name="Emission Coefficients" sheetId="17" r:id="rId17"/>
    <sheet name="Electricity factors" sheetId="18" r:id="rId18"/>
    <sheet name="N2O coef" sheetId="19" state="hidden" r:id="rId19"/>
    <sheet name="CH4 coef" sheetId="20" state="hidden" r:id="rId20"/>
    <sheet name="Natural gas" sheetId="21" r:id="rId21"/>
    <sheet name="Waste coef" sheetId="22" state="hidden" r:id="rId22"/>
    <sheet name="Energy Conv Factors" sheetId="23" state="hidden" r:id="rId23"/>
    <sheet name="VKT" sheetId="24" state="hidden" r:id="rId24"/>
  </sheets>
  <definedNames>
    <definedName name="B10Em">'Transportation'!$P$3</definedName>
    <definedName name="B20Em">'Transportation'!$Q$3</definedName>
    <definedName name="B5Em">'Transportation'!$O$3</definedName>
    <definedName name="bdecost">#REF!</definedName>
    <definedName name="bdeeco2">#REF!</definedName>
    <definedName name="bdieselcost">#REF!</definedName>
    <definedName name="bdieseleco2">#REF!</definedName>
    <definedName name="beleccost">#REF!</definedName>
    <definedName name="belececo2">#REF!</definedName>
    <definedName name="bfocost">#REF!</definedName>
    <definedName name="bfoeco2">#REF!</definedName>
    <definedName name="biodiesel10">'Emission Coefficients'!$D$32</definedName>
    <definedName name="biodiesel20">'Emission Coefficients'!$D$33</definedName>
    <definedName name="biodiesel5">'Emission Coefficients'!$D$31</definedName>
    <definedName name="bngcost">#REF!</definedName>
    <definedName name="bngeco2">#REF!</definedName>
    <definedName name="bpropanecost">#REF!</definedName>
    <definedName name="bpropaneeco2">#REF!</definedName>
    <definedName name="buildEnergy">'Buildings'!$AB$54</definedName>
    <definedName name="buildingeco2">#REF!</definedName>
    <definedName name="buildingscost">'Buildings'!$AA$54</definedName>
    <definedName name="buildingsde">#REF!</definedName>
    <definedName name="buildingsdiesel">#REF!</definedName>
    <definedName name="buildingseco2">'Buildings'!$AC$54</definedName>
    <definedName name="buildingselec">#REF!</definedName>
    <definedName name="buildingsfo">#REF!</definedName>
    <definedName name="buildingsng">#REF!</definedName>
    <definedName name="buildingspropane">#REF!</definedName>
    <definedName name="CH4_GWP">'Emission Coefficients'!$R$4</definedName>
    <definedName name="cngch4">'Emission Coefficients'!$G$5</definedName>
    <definedName name="cngco2">'Emission Coefficients'!$D$5</definedName>
    <definedName name="CNGEm">'Transportation'!$M$3</definedName>
    <definedName name="cngn2o">'Emission Coefficients'!$F$5</definedName>
    <definedName name="CommEnergy">'Commercial'!$E$16</definedName>
    <definedName name="comyear">'General Info'!$C$8</definedName>
    <definedName name="corpwasteeco2">'Waste'!$D$10</definedName>
    <definedName name="corpwastetot">'Waste'!$G$47</definedName>
    <definedName name="corpyear">'General Info'!$C$7</definedName>
    <definedName name="dech4">'Emission Coefficients'!$G$13</definedName>
    <definedName name="deco2">'Emission Coefficients'!$D$13</definedName>
    <definedName name="den2o">'Emission Coefficients'!$F$13</definedName>
    <definedName name="dieselch4">'Emission Coefficients'!$G$12</definedName>
    <definedName name="dieselco2">'Emission Coefficients'!$D$12</definedName>
    <definedName name="dieselco2e">'Emission Coefficients'!$D$12</definedName>
    <definedName name="DieselEm">'Transportation'!$K$3</definedName>
    <definedName name="dieseln2o">'Emission Coefficients'!$F$12</definedName>
    <definedName name="ethanolch4">'Emission Coefficients'!$G$15</definedName>
    <definedName name="ethanolco2">'Emission Coefficients'!$D$15</definedName>
    <definedName name="EthanolEm">'Transportation'!$N$3</definedName>
    <definedName name="ethanoln2o">'Emission Coefficients'!$F$15</definedName>
    <definedName name="FleetEnergy">'Vehicle Fleet'!$AM$54</definedName>
    <definedName name="fueloilch4">'Emission Coefficients'!$G$16</definedName>
    <definedName name="fueloilco2">'Emission Coefficients'!$D$16</definedName>
    <definedName name="fueloiln2o">'Emission Coefficients'!$F$16</definedName>
    <definedName name="gasch4">'Emission Coefficients'!$G$17</definedName>
    <definedName name="gasco2">'Emission Coefficients'!$D$17</definedName>
    <definedName name="GasEm">'Transportation'!$J$3</definedName>
    <definedName name="gasn2o">'Emission Coefficients'!$F$17</definedName>
    <definedName name="IndEnergy">'Industrial'!$E$16</definedName>
    <definedName name="N2O_GWP">'Emission Coefficients'!$R$5</definedName>
    <definedName name="name">'General Info'!$C$5</definedName>
    <definedName name="natgasch4">'Emission Coefficients'!$G$26</definedName>
    <definedName name="natgasco2">'Emission Coefficients'!$D$26</definedName>
    <definedName name="natgasn2o">'Emission Coefficients'!$F$26</definedName>
    <definedName name="_xlnm.Print_Area" localSheetId="2">'Buildings'!$A$1:$AI$54</definedName>
    <definedName name="_xlnm.Print_Area" localSheetId="4">'Streetlights'!$A$1:$I$54</definedName>
    <definedName name="_xlnm.Print_Area" localSheetId="3">'Vehicle Fleet'!$A$1:$AR$54</definedName>
    <definedName name="_xlnm.Print_Area" localSheetId="5">'Water &amp; Sewage'!$A$1:$AB$60</definedName>
    <definedName name="propanech4">'Emission Coefficients'!$G$27</definedName>
    <definedName name="propaneco2">'Emission Coefficients'!$D$27</definedName>
    <definedName name="PropaneEmm">'Transportation'!$L$3</definedName>
    <definedName name="propanen2o">'Emission Coefficients'!$F$27</definedName>
    <definedName name="ResEnergy">'Residential'!$E$16</definedName>
    <definedName name="slelecuse">#REF!</definedName>
    <definedName name="SLEnergy">'Streetlights'!$D$54</definedName>
    <definedName name="stationarydieselco2">'Emission Coefficients'!$D$30</definedName>
    <definedName name="streetlightscost">'Streetlights'!$E$54</definedName>
    <definedName name="streetlightseco2">'Streetlights'!#REF!</definedName>
    <definedName name="test">'Emission Coefficients'!$F$17</definedName>
    <definedName name="Transco2e">'Transportation'!$I$3</definedName>
    <definedName name="TransEnergy">'Transportation'!$I$4</definedName>
    <definedName name="TrB10">'Transportation'!$P$4</definedName>
    <definedName name="TrB20">'Transportation'!$Q$4</definedName>
    <definedName name="TrB5">'Transportation'!$O$4</definedName>
    <definedName name="TrCNG">'Transportation'!$M$4</definedName>
    <definedName name="TrDiesel">'Transportation'!$K$4</definedName>
    <definedName name="TrEthanol">'Transportation'!$N$4</definedName>
    <definedName name="TrGas">'Transportation'!$J$4</definedName>
    <definedName name="TrPropane">'Transportation'!$L$4</definedName>
    <definedName name="vehiclefleetcost">'Vehicle Fleet'!$AL$54</definedName>
    <definedName name="vehiclefleeteco2">'Vehicle Fleet'!$AN$54</definedName>
    <definedName name="vfcngcost">#REF!</definedName>
    <definedName name="vfcngeco2">#REF!</definedName>
    <definedName name="vfdieselcost">#REF!</definedName>
    <definedName name="vfebcost">#REF!</definedName>
    <definedName name="vfebeco2">#REF!</definedName>
    <definedName name="vfgascost">#REF!</definedName>
    <definedName name="vfpropanecost">#REF!</definedName>
    <definedName name="vfpropaneeco2">#REF!</definedName>
    <definedName name="vgdieseleco2">#REF!</definedName>
    <definedName name="vggaseco2">#REF!</definedName>
    <definedName name="wastecoef">'Waste coef'!$D$9</definedName>
    <definedName name="wasteconv">'Waste coef'!$D$16</definedName>
    <definedName name="wasteeco2">'Waste'!$D$10</definedName>
    <definedName name="waterandsewagecost">'Water &amp; Sewage'!$Y$60</definedName>
    <definedName name="waterandsewageeco2">'Water &amp; Sewage'!$Z$60</definedName>
    <definedName name="WSEnergy">'Water &amp; Sewage'!$X$60</definedName>
  </definedNames>
  <calcPr fullCalcOnLoad="1"/>
</workbook>
</file>

<file path=xl/comments10.xml><?xml version="1.0" encoding="utf-8"?>
<comments xmlns="http://schemas.openxmlformats.org/spreadsheetml/2006/main">
  <authors>
    <author>Peter Martens</author>
  </authors>
  <commentList>
    <comment ref="F12" authorId="0">
      <text>
        <r>
          <rPr>
            <sz val="9"/>
            <rFont val="Tahoma"/>
            <family val="2"/>
          </rPr>
          <t xml:space="preserve">To accurately quantify your emissions, input the emissions factor for your local district energy system in the </t>
        </r>
        <r>
          <rPr>
            <i/>
            <sz val="9"/>
            <rFont val="Tahoma"/>
            <family val="2"/>
          </rPr>
          <t>Emission Coefficients</t>
        </r>
        <r>
          <rPr>
            <sz val="9"/>
            <rFont val="Tahoma"/>
            <family val="2"/>
          </rPr>
          <t xml:space="preserve"> tab</t>
        </r>
      </text>
    </comment>
  </commentList>
</comments>
</file>

<file path=xl/comments11.xml><?xml version="1.0" encoding="utf-8"?>
<comments xmlns="http://schemas.openxmlformats.org/spreadsheetml/2006/main">
  <authors>
    <author>Peter Martens</author>
  </authors>
  <commentList>
    <comment ref="F12" authorId="0">
      <text>
        <r>
          <rPr>
            <sz val="9"/>
            <rFont val="Tahoma"/>
            <family val="2"/>
          </rPr>
          <t>To accurately quantify your emissions, input the emissions factor for your local district energy system in the Emission Coefficients tab</t>
        </r>
      </text>
    </comment>
  </commentList>
</comments>
</file>

<file path=xl/comments12.xml><?xml version="1.0" encoding="utf-8"?>
<comments xmlns="http://schemas.openxmlformats.org/spreadsheetml/2006/main">
  <authors>
    <author>Peter Martens</author>
  </authors>
  <commentList>
    <comment ref="F12" authorId="0">
      <text>
        <r>
          <rPr>
            <sz val="9"/>
            <rFont val="Tahoma"/>
            <family val="2"/>
          </rPr>
          <t>To accurately quantify your emissions, input the emissions factor for your local district energy system in the Emission Coefficients tab</t>
        </r>
      </text>
    </comment>
  </commentList>
</comments>
</file>

<file path=xl/comments15.xml><?xml version="1.0" encoding="utf-8"?>
<comments xmlns="http://schemas.openxmlformats.org/spreadsheetml/2006/main">
  <authors>
    <author>Lisa J. Scott</author>
  </authors>
  <commentList>
    <comment ref="B2" authorId="0">
      <text>
        <r>
          <rPr>
            <sz val="8"/>
            <rFont val="Tahoma"/>
            <family val="2"/>
          </rPr>
          <t>The two charts below will illustrate the eCO2 breakdowns by sector and source only once data has been entered into the spreadsheets.</t>
        </r>
      </text>
    </comment>
  </commentList>
</comments>
</file>

<file path=xl/comments24.xml><?xml version="1.0" encoding="utf-8"?>
<comments xmlns="http://schemas.openxmlformats.org/spreadsheetml/2006/main">
  <authors>
    <author>Peter Martens</author>
  </authors>
  <commentList>
    <comment ref="H4" authorId="0">
      <text>
        <r>
          <rPr>
            <sz val="9"/>
            <rFont val="Tahoma"/>
            <family val="2"/>
          </rPr>
          <t>Comparable data for other years was not available</t>
        </r>
      </text>
    </comment>
    <comment ref="H20" authorId="0">
      <text>
        <r>
          <rPr>
            <sz val="9"/>
            <rFont val="Tahoma"/>
            <family val="2"/>
          </rPr>
          <t>No data for this jurisdiction so Canadian average used</t>
        </r>
      </text>
    </comment>
    <comment ref="H21" authorId="0">
      <text>
        <r>
          <rPr>
            <sz val="9"/>
            <rFont val="Tahoma"/>
            <family val="2"/>
          </rPr>
          <t>No data for this jurisdiction so Canadian average used</t>
        </r>
      </text>
    </comment>
    <comment ref="I21" authorId="0">
      <text>
        <r>
          <rPr>
            <sz val="9"/>
            <rFont val="Tahoma"/>
            <family val="2"/>
          </rPr>
          <t>No data for this jurisdiction so Territories average used</t>
        </r>
      </text>
    </comment>
    <comment ref="H15" authorId="0">
      <text>
        <r>
          <rPr>
            <sz val="9"/>
            <rFont val="Tahoma"/>
            <family val="2"/>
          </rPr>
          <t>No data for this jurisdiction so Canadian average used</t>
        </r>
      </text>
    </comment>
    <comment ref="H13" authorId="0">
      <text>
        <r>
          <rPr>
            <sz val="9"/>
            <rFont val="Tahoma"/>
            <family val="2"/>
          </rPr>
          <t>No data for this jurisdiction so Canadian average used</t>
        </r>
      </text>
    </comment>
    <comment ref="I15" authorId="0">
      <text>
        <r>
          <rPr>
            <sz val="9"/>
            <rFont val="Tahoma"/>
            <family val="2"/>
          </rPr>
          <t>No data for this jurisdiction so Territories average used</t>
        </r>
      </text>
    </comment>
    <comment ref="I13" authorId="0">
      <text>
        <r>
          <rPr>
            <sz val="9"/>
            <rFont val="Tahoma"/>
            <family val="2"/>
          </rPr>
          <t>No data for this jurisdiction so Territories average used</t>
        </r>
      </text>
    </comment>
  </commentList>
</comments>
</file>

<file path=xl/comments3.xml><?xml version="1.0" encoding="utf-8"?>
<comments xmlns="http://schemas.openxmlformats.org/spreadsheetml/2006/main">
  <authors>
    <author>Peter Martens</author>
  </authors>
  <commentList>
    <comment ref="N54" authorId="0">
      <text>
        <r>
          <rPr>
            <sz val="9"/>
            <rFont val="Tahoma"/>
            <family val="2"/>
          </rPr>
          <t>To accurately quantify your emissions, input the emissions factor for your local district energy system in the Emission Coefficients tab</t>
        </r>
      </text>
    </comment>
    <comment ref="K8" authorId="0">
      <text>
        <r>
          <rPr>
            <sz val="9"/>
            <rFont val="Tahoma"/>
            <family val="2"/>
          </rPr>
          <t>To accurately quantify your emissions, input the emissions factor for your local district energy system in the Emission Coefficients tab</t>
        </r>
      </text>
    </comment>
  </commentList>
</comments>
</file>

<file path=xl/comments6.xml><?xml version="1.0" encoding="utf-8"?>
<comments xmlns="http://schemas.openxmlformats.org/spreadsheetml/2006/main">
  <authors>
    <author>Peter Martens</author>
  </authors>
  <commentList>
    <comment ref="N60" authorId="0">
      <text>
        <r>
          <rPr>
            <sz val="9"/>
            <rFont val="Tahoma"/>
            <family val="2"/>
          </rPr>
          <t>To accurately quantify your emissions, input the emissions factor for your local district energy system in the Emission Coefficients tab</t>
        </r>
      </text>
    </comment>
    <comment ref="K8" authorId="0">
      <text>
        <r>
          <rPr>
            <sz val="9"/>
            <rFont val="Tahoma"/>
            <family val="2"/>
          </rPr>
          <t>To accurately quantify your emissions, input the emissions factor for your local district energy system in the Emission Coefficients tab</t>
        </r>
      </text>
    </comment>
  </commentList>
</comments>
</file>

<file path=xl/comments8.xml><?xml version="1.0" encoding="utf-8"?>
<comments xmlns="http://schemas.openxmlformats.org/spreadsheetml/2006/main">
  <authors>
    <author>Lisa J. Scott</author>
  </authors>
  <commentList>
    <comment ref="B2" authorId="0">
      <text>
        <r>
          <rPr>
            <sz val="8"/>
            <rFont val="Tahoma"/>
            <family val="2"/>
          </rPr>
          <t>The two charts below will illustrate the eCO2 breakdowns by sector and source only once data has been entered into the spreadsheets.</t>
        </r>
      </text>
    </comment>
  </commentList>
</comments>
</file>

<file path=xl/sharedStrings.xml><?xml version="1.0" encoding="utf-8"?>
<sst xmlns="http://schemas.openxmlformats.org/spreadsheetml/2006/main" count="745" uniqueCount="315">
  <si>
    <t>InventoryYear</t>
  </si>
  <si>
    <t>N2OCoefficient</t>
  </si>
  <si>
    <t>CH4Coefficient</t>
  </si>
  <si>
    <t>NOxCoefficient</t>
  </si>
  <si>
    <t>SOxCoefficient</t>
  </si>
  <si>
    <t>COCoefficient</t>
  </si>
  <si>
    <t>VOCCoefficient</t>
  </si>
  <si>
    <t>PM10Coefficient</t>
  </si>
  <si>
    <t>Alberta</t>
  </si>
  <si>
    <t>British Columbia</t>
  </si>
  <si>
    <t>Manitoba</t>
  </si>
  <si>
    <t>New Brunswick</t>
  </si>
  <si>
    <t>Newfoundland</t>
  </si>
  <si>
    <t>Northwest Territories</t>
  </si>
  <si>
    <t>Nova Scotia</t>
  </si>
  <si>
    <t>Nunavut</t>
  </si>
  <si>
    <t>Ontario</t>
  </si>
  <si>
    <t>Prince Edward Island</t>
  </si>
  <si>
    <t>Quebec</t>
  </si>
  <si>
    <t>Saskatchewan</t>
  </si>
  <si>
    <t>TypeName</t>
  </si>
  <si>
    <t>BaseUnit</t>
  </si>
  <si>
    <t>EnergyCoefficient</t>
  </si>
  <si>
    <t>Alta Bitum. Coal</t>
  </si>
  <si>
    <t>(tonnes)</t>
  </si>
  <si>
    <t>B.C. Bitum. Coal</t>
  </si>
  <si>
    <t>CNG</t>
  </si>
  <si>
    <t>(litres)</t>
  </si>
  <si>
    <t>Coal - Anthracite</t>
  </si>
  <si>
    <t>Coal - Cdn Bitum.</t>
  </si>
  <si>
    <t>Coal - Lignite</t>
  </si>
  <si>
    <t>Coal - Sub-Bitum.</t>
  </si>
  <si>
    <t>Coal - U.S. Bitum.</t>
  </si>
  <si>
    <t>Coke</t>
  </si>
  <si>
    <t>Diesel</t>
  </si>
  <si>
    <t>District Energy</t>
  </si>
  <si>
    <t>(GJ)</t>
  </si>
  <si>
    <t>Electricity (2000)</t>
  </si>
  <si>
    <t>(MWh)</t>
  </si>
  <si>
    <t>Fuel Oil</t>
  </si>
  <si>
    <t>Gasoline</t>
  </si>
  <si>
    <t>Heavy Fuel Oil</t>
  </si>
  <si>
    <t>Kerosene</t>
  </si>
  <si>
    <t>Landfill Gas Electricity</t>
  </si>
  <si>
    <t>Landfill Methane</t>
  </si>
  <si>
    <t>MSW</t>
  </si>
  <si>
    <t>Man. Bitum. Coal</t>
  </si>
  <si>
    <t>N.B. Bitum. Coal</t>
  </si>
  <si>
    <t>N.S. Bitum. Coal</t>
  </si>
  <si>
    <t>Natural Gas</t>
  </si>
  <si>
    <t>(cubic metres)</t>
  </si>
  <si>
    <t>Propane</t>
  </si>
  <si>
    <t>Solar</t>
  </si>
  <si>
    <t>Wood</t>
  </si>
  <si>
    <t>(cords)</t>
  </si>
  <si>
    <t>Buildings</t>
  </si>
  <si>
    <t>Electricity</t>
  </si>
  <si>
    <t>Total Use</t>
  </si>
  <si>
    <t>Units</t>
  </si>
  <si>
    <t>kWh</t>
  </si>
  <si>
    <t>GJ</t>
  </si>
  <si>
    <t>L</t>
  </si>
  <si>
    <t>Total</t>
  </si>
  <si>
    <t>kg/kWh</t>
  </si>
  <si>
    <t>Streetlights</t>
  </si>
  <si>
    <t>Vehicle Fleet</t>
  </si>
  <si>
    <t>Waste</t>
  </si>
  <si>
    <t>Yukon</t>
  </si>
  <si>
    <t>Indicator</t>
  </si>
  <si>
    <t>Indicators</t>
  </si>
  <si>
    <t>Indicator Values</t>
  </si>
  <si>
    <t>Fuel Type</t>
  </si>
  <si>
    <t>Description:</t>
  </si>
  <si>
    <t>Corporate Inventory</t>
  </si>
  <si>
    <t>Indicator Value</t>
  </si>
  <si>
    <t>Insert comments here. ( ie. represents entire buildings portfolio)</t>
  </si>
  <si>
    <t>Residential</t>
  </si>
  <si>
    <t>Community Inventory</t>
  </si>
  <si>
    <t>Insert comment here: (waste from corporate buildings)</t>
  </si>
  <si>
    <t>Industrial</t>
  </si>
  <si>
    <t>Insert comments here. ( ie. Includes single and semi-detached homes)</t>
  </si>
  <si>
    <t>Insert comments here. ( ie. Includes all non-industrial businesses)</t>
  </si>
  <si>
    <t>Insert comments here. ( ie. Includes small industrial sector)</t>
  </si>
  <si>
    <t>Population:</t>
  </si>
  <si>
    <t>Households:</t>
  </si>
  <si>
    <r>
      <t>Floor Area (1000 m</t>
    </r>
    <r>
      <rPr>
        <i/>
        <vertAlign val="superscript"/>
        <sz val="10"/>
        <rFont val="Times New Roman"/>
        <family val="1"/>
      </rPr>
      <t>2</t>
    </r>
    <r>
      <rPr>
        <i/>
        <sz val="10"/>
        <rFont val="Times New Roman"/>
        <family val="1"/>
      </rPr>
      <t>):</t>
    </r>
  </si>
  <si>
    <t>Employees:</t>
  </si>
  <si>
    <t>Establishments:</t>
  </si>
  <si>
    <t>Transportation</t>
  </si>
  <si>
    <t>Insert comment here.  (ie. Based on study performed by tranportation dept.)</t>
  </si>
  <si>
    <t>Percentage Breakdown of VKT by Vehicle Type and Fuel (%)</t>
  </si>
  <si>
    <t>Autos</t>
  </si>
  <si>
    <t>Light Truck</t>
  </si>
  <si>
    <t>Heavy Truck</t>
  </si>
  <si>
    <t>Bus</t>
  </si>
  <si>
    <t>Total Annual Vehicle Kilometres Travelled (VKT):</t>
  </si>
  <si>
    <t>Insert comment here.  (ie. Waste from all community sectors)</t>
  </si>
  <si>
    <t>Waste to landfill (tonnes):</t>
  </si>
  <si>
    <t>Waste Share Breakdown</t>
  </si>
  <si>
    <t>Waste to Lanfill</t>
  </si>
  <si>
    <t>Paper Products</t>
  </si>
  <si>
    <t>Food Waste</t>
  </si>
  <si>
    <t>Plant Debris</t>
  </si>
  <si>
    <t>Wood/Textiles</t>
  </si>
  <si>
    <t>All Other Waste</t>
  </si>
  <si>
    <t>Waste Share (%)</t>
  </si>
  <si>
    <t>Waste to landfill (t):</t>
  </si>
  <si>
    <t>Number of employees</t>
  </si>
  <si>
    <t xml:space="preserve">eCO2 Emissions (t): </t>
  </si>
  <si>
    <t>Water and Sewage</t>
  </si>
  <si>
    <t>Corporate Waste</t>
  </si>
  <si>
    <t>Sector</t>
  </si>
  <si>
    <t>-</t>
  </si>
  <si>
    <t>Energy Type</t>
  </si>
  <si>
    <t xml:space="preserve">Total </t>
  </si>
  <si>
    <t>Inventory Year:</t>
  </si>
  <si>
    <t>Municipality:</t>
  </si>
  <si>
    <t>Community Waste</t>
  </si>
  <si>
    <t>Instructions - Inventory Quantification Support Spreadsheet</t>
  </si>
  <si>
    <t>General Information</t>
  </si>
  <si>
    <t>Electricty (kWh)</t>
  </si>
  <si>
    <t>District Energy (GJ)</t>
  </si>
  <si>
    <t>Fuel Oil (L)</t>
  </si>
  <si>
    <t>Diesel (L)</t>
  </si>
  <si>
    <t>Total Cost ($)</t>
  </si>
  <si>
    <t>Building or Building Group Name</t>
  </si>
  <si>
    <t>Operating Hours</t>
  </si>
  <si>
    <t>Occupants</t>
  </si>
  <si>
    <t>Total Cost ($)/Operating Hour</t>
  </si>
  <si>
    <t>Total Cost ($)/Occupant</t>
  </si>
  <si>
    <r>
      <t>Floor Area (1000 m</t>
    </r>
    <r>
      <rPr>
        <b/>
        <vertAlign val="superscript"/>
        <sz val="9"/>
        <rFont val="Times New Roman"/>
        <family val="1"/>
      </rPr>
      <t>2</t>
    </r>
    <r>
      <rPr>
        <b/>
        <sz val="9"/>
        <rFont val="Times New Roman"/>
        <family val="1"/>
      </rPr>
      <t>)</t>
    </r>
  </si>
  <si>
    <r>
      <t>Cost ($)/m</t>
    </r>
    <r>
      <rPr>
        <b/>
        <vertAlign val="superscript"/>
        <sz val="9"/>
        <rFont val="Times New Roman"/>
        <family val="1"/>
      </rPr>
      <t>2</t>
    </r>
  </si>
  <si>
    <t>Facility or Facility Group Name</t>
  </si>
  <si>
    <t>Output (1000L)</t>
  </si>
  <si>
    <t>Total Cost ($)/Output (L)</t>
  </si>
  <si>
    <t>Vehicle or Vehicle Group Name</t>
  </si>
  <si>
    <t>Gasoline (L)</t>
  </si>
  <si>
    <t>Propane (L)</t>
  </si>
  <si>
    <t>Vehicle Kilometers</t>
  </si>
  <si>
    <t># of Vehicles</t>
  </si>
  <si>
    <t>Total Cost ($)/km</t>
  </si>
  <si>
    <t>Total Cost ($)/# of Vehicles</t>
  </si>
  <si>
    <t>Streetlight Group Name</t>
  </si>
  <si>
    <t># of Streetlights</t>
  </si>
  <si>
    <t>Total Cost ($)/Streetlight</t>
  </si>
  <si>
    <t xml:space="preserve">                                                                                                                                                                                             </t>
  </si>
  <si>
    <t>Buildings Con't…</t>
  </si>
  <si>
    <t>Vehicle Fleet Con't…</t>
  </si>
  <si>
    <t>Province/Territory:</t>
  </si>
  <si>
    <t>Insert comments here. ( ie. represents entire fleet portfolio)</t>
  </si>
  <si>
    <t>Insert comments here. ( ie. represents entire streetlights portfolio)</t>
  </si>
  <si>
    <t>Municipal government:</t>
  </si>
  <si>
    <t>Separate worksheets have been developed to track the data within each community and corporate sector.  The corporate sectors include buildings, vehicle fleet, streetlights, water and sewage, and waste.  The community sectors include residential, commerical, industrial, transportation and waste.  A summary of the corporate and community inventories is provided in a separate worksheet and will be automatically filled in as you input the data into each sector's worksheet.</t>
  </si>
  <si>
    <t>Insert comments here. ( i.e. represents entire buildings portfolio)</t>
  </si>
  <si>
    <t>Cars</t>
  </si>
  <si>
    <t>Compressed Natural Gas (L)</t>
  </si>
  <si>
    <t>Compressed Natural Gas</t>
  </si>
  <si>
    <t>Total Fuel Used (L)</t>
  </si>
  <si>
    <t>Cells highlighted with dark green contain the eCO2 emissions which are automatically calculated based on the information you provide.</t>
  </si>
  <si>
    <r>
      <t>•</t>
    </r>
    <r>
      <rPr>
        <b/>
        <sz val="18"/>
        <color indexed="9"/>
        <rFont val="Times New Roman"/>
        <family val="1"/>
      </rPr>
      <t>Buildings</t>
    </r>
  </si>
  <si>
    <r>
      <t>•</t>
    </r>
    <r>
      <rPr>
        <b/>
        <sz val="18"/>
        <color indexed="9"/>
        <rFont val="Arial"/>
        <family val="2"/>
      </rPr>
      <t>Vehicle Fleet</t>
    </r>
  </si>
  <si>
    <r>
      <t>•</t>
    </r>
    <r>
      <rPr>
        <b/>
        <sz val="18"/>
        <color indexed="9"/>
        <rFont val="Arial"/>
        <family val="2"/>
      </rPr>
      <t>Streetlights</t>
    </r>
  </si>
  <si>
    <r>
      <t>•</t>
    </r>
    <r>
      <rPr>
        <b/>
        <sz val="18"/>
        <color indexed="9"/>
        <rFont val="Arial"/>
        <family val="2"/>
      </rPr>
      <t>Water &amp; Sewage</t>
    </r>
  </si>
  <si>
    <r>
      <t>•</t>
    </r>
    <r>
      <rPr>
        <b/>
        <sz val="18"/>
        <color indexed="9"/>
        <rFont val="Times New Roman"/>
        <family val="1"/>
      </rPr>
      <t>Waste</t>
    </r>
  </si>
  <si>
    <r>
      <t>•</t>
    </r>
    <r>
      <rPr>
        <b/>
        <sz val="18"/>
        <color indexed="9"/>
        <rFont val="Arial"/>
        <family val="2"/>
      </rPr>
      <t>Corporate Inventory Summary</t>
    </r>
  </si>
  <si>
    <r>
      <t>•</t>
    </r>
    <r>
      <rPr>
        <b/>
        <sz val="18"/>
        <color indexed="9"/>
        <rFont val="Arial"/>
        <family val="2"/>
      </rPr>
      <t>Residential</t>
    </r>
  </si>
  <si>
    <r>
      <t>•</t>
    </r>
    <r>
      <rPr>
        <b/>
        <sz val="18"/>
        <color indexed="9"/>
        <rFont val="Arial"/>
        <family val="2"/>
      </rPr>
      <t>Commercial</t>
    </r>
  </si>
  <si>
    <r>
      <t>•</t>
    </r>
    <r>
      <rPr>
        <b/>
        <sz val="18"/>
        <color indexed="9"/>
        <rFont val="Arial"/>
        <family val="2"/>
      </rPr>
      <t>Industrial</t>
    </r>
  </si>
  <si>
    <r>
      <t>•</t>
    </r>
    <r>
      <rPr>
        <b/>
        <sz val="18"/>
        <color indexed="9"/>
        <rFont val="Arial"/>
        <family val="2"/>
      </rPr>
      <t>Transportation</t>
    </r>
  </si>
  <si>
    <r>
      <t>•</t>
    </r>
    <r>
      <rPr>
        <b/>
        <sz val="18"/>
        <color indexed="9"/>
        <rFont val="Arial"/>
        <family val="2"/>
      </rPr>
      <t>Community Waste</t>
    </r>
  </si>
  <si>
    <r>
      <t>•</t>
    </r>
    <r>
      <rPr>
        <b/>
        <sz val="18"/>
        <color indexed="9"/>
        <rFont val="Arial"/>
        <family val="2"/>
      </rPr>
      <t>Community Inventory Summary</t>
    </r>
  </si>
  <si>
    <r>
      <t xml:space="preserve">Cells highlighted in blue </t>
    </r>
    <r>
      <rPr>
        <i/>
        <sz val="10"/>
        <rFont val="Arial"/>
        <family val="2"/>
      </rPr>
      <t>can</t>
    </r>
    <r>
      <rPr>
        <sz val="10"/>
        <rFont val="Arial"/>
        <family val="2"/>
      </rPr>
      <t xml:space="preserve"> be filled in, but are not necessary to calculate eCO2 emissions.</t>
    </r>
  </si>
  <si>
    <r>
      <t xml:space="preserve">Cells highlighted in light blue </t>
    </r>
    <r>
      <rPr>
        <i/>
        <sz val="10"/>
        <rFont val="Arial"/>
        <family val="2"/>
      </rPr>
      <t>can</t>
    </r>
    <r>
      <rPr>
        <sz val="10"/>
        <rFont val="Arial"/>
        <family val="2"/>
      </rPr>
      <t xml:space="preserve"> be altered with empirical data if available.</t>
    </r>
  </si>
  <si>
    <r>
      <t xml:space="preserve">Cells highlighted in light yellow </t>
    </r>
    <r>
      <rPr>
        <b/>
        <i/>
        <u val="single"/>
        <sz val="10"/>
        <rFont val="Arial"/>
        <family val="2"/>
      </rPr>
      <t>must</t>
    </r>
    <r>
      <rPr>
        <b/>
        <u val="single"/>
        <sz val="10"/>
        <rFont val="Arial"/>
        <family val="2"/>
      </rPr>
      <t xml:space="preserve"> </t>
    </r>
    <r>
      <rPr>
        <sz val="10"/>
        <rFont val="Arial"/>
        <family val="2"/>
      </rPr>
      <t>be filled in in order to calculate eCO2 emissions.</t>
    </r>
  </si>
  <si>
    <t>Tabs highlighted in yellow are community sectors</t>
  </si>
  <si>
    <t xml:space="preserve">Tabs highlighted in blue are corporate/municipal operation sectors       </t>
  </si>
  <si>
    <t>Commercial</t>
  </si>
  <si>
    <t>Province</t>
  </si>
  <si>
    <t>Newfoundland and Labrador</t>
  </si>
  <si>
    <t>GHG Emission Factors for Natural Gas</t>
  </si>
  <si>
    <t>Diesel (stationary)</t>
  </si>
  <si>
    <t>Diesel (mobile/road)</t>
  </si>
  <si>
    <t>Gasoline (mobile/road)</t>
  </si>
  <si>
    <t xml:space="preserve">The Inventory Quantification Support Spreadsheet is a tool created to assist municipal governments in the calculation of their greenhouse gas (eCO2) emissions.  This tool will help you calculate your municipal government's corporate and community eCO2 (equivalent CO2) emissions based on energy consumption and waste to landfill. </t>
  </si>
  <si>
    <r>
      <t>Tonnes eC0</t>
    </r>
    <r>
      <rPr>
        <b/>
        <vertAlign val="subscript"/>
        <sz val="10"/>
        <rFont val="Arial"/>
        <family val="2"/>
      </rPr>
      <t>2</t>
    </r>
    <r>
      <rPr>
        <b/>
        <sz val="10"/>
        <rFont val="Arial"/>
        <family val="2"/>
      </rPr>
      <t>/unit of fuel</t>
    </r>
  </si>
  <si>
    <t>CH4</t>
  </si>
  <si>
    <t>CO2</t>
  </si>
  <si>
    <t>N2O</t>
  </si>
  <si>
    <t>SAR</t>
  </si>
  <si>
    <t>SF6</t>
  </si>
  <si>
    <t>GWP 100 year</t>
  </si>
  <si>
    <t>CO2Coefficient</t>
  </si>
  <si>
    <r>
      <t>eCO</t>
    </r>
    <r>
      <rPr>
        <vertAlign val="subscript"/>
        <sz val="10"/>
        <rFont val="Arial"/>
        <family val="2"/>
      </rPr>
      <t>2</t>
    </r>
    <r>
      <rPr>
        <sz val="10"/>
        <rFont val="Arial"/>
        <family val="2"/>
      </rPr>
      <t>Coefficient (t CO2e/base unit)</t>
    </r>
  </si>
  <si>
    <r>
      <t>m</t>
    </r>
    <r>
      <rPr>
        <vertAlign val="superscript"/>
        <sz val="10"/>
        <rFont val="Times New Roman"/>
        <family val="1"/>
      </rPr>
      <t>3</t>
    </r>
  </si>
  <si>
    <r>
      <t>Natural Gas (m</t>
    </r>
    <r>
      <rPr>
        <b/>
        <vertAlign val="superscript"/>
        <sz val="9"/>
        <rFont val="Times New Roman"/>
        <family val="1"/>
      </rPr>
      <t>3</t>
    </r>
    <r>
      <rPr>
        <b/>
        <sz val="9"/>
        <rFont val="Times New Roman"/>
        <family val="1"/>
      </rPr>
      <t>)</t>
    </r>
  </si>
  <si>
    <r>
      <t>Total eCO</t>
    </r>
    <r>
      <rPr>
        <b/>
        <vertAlign val="subscript"/>
        <sz val="9"/>
        <rFont val="Times New Roman"/>
        <family val="1"/>
      </rPr>
      <t>2</t>
    </r>
    <r>
      <rPr>
        <b/>
        <sz val="9"/>
        <rFont val="Times New Roman"/>
        <family val="1"/>
      </rPr>
      <t xml:space="preserve"> (t)</t>
    </r>
  </si>
  <si>
    <r>
      <t>eCO</t>
    </r>
    <r>
      <rPr>
        <b/>
        <vertAlign val="subscript"/>
        <sz val="9"/>
        <rFont val="Times New Roman"/>
        <family val="1"/>
      </rPr>
      <t>2</t>
    </r>
    <r>
      <rPr>
        <b/>
        <sz val="9"/>
        <rFont val="Times New Roman"/>
        <family val="1"/>
      </rPr>
      <t xml:space="preserve"> (t)/Operating Hour</t>
    </r>
  </si>
  <si>
    <r>
      <t>eCO</t>
    </r>
    <r>
      <rPr>
        <b/>
        <vertAlign val="subscript"/>
        <sz val="9"/>
        <rFont val="Times New Roman"/>
        <family val="1"/>
      </rPr>
      <t>2</t>
    </r>
    <r>
      <rPr>
        <b/>
        <sz val="9"/>
        <rFont val="Times New Roman"/>
        <family val="1"/>
      </rPr>
      <t xml:space="preserve"> (t)/Occupant</t>
    </r>
  </si>
  <si>
    <r>
      <t>eCO</t>
    </r>
    <r>
      <rPr>
        <b/>
        <vertAlign val="subscript"/>
        <sz val="9"/>
        <rFont val="Times New Roman"/>
        <family val="1"/>
      </rPr>
      <t>2</t>
    </r>
    <r>
      <rPr>
        <b/>
        <sz val="9"/>
        <rFont val="Times New Roman"/>
        <family val="1"/>
      </rPr>
      <t xml:space="preserve"> (t)/m</t>
    </r>
    <r>
      <rPr>
        <b/>
        <vertAlign val="superscript"/>
        <sz val="9"/>
        <rFont val="Times New Roman"/>
        <family val="1"/>
      </rPr>
      <t>2</t>
    </r>
  </si>
  <si>
    <r>
      <t>Total eCO</t>
    </r>
    <r>
      <rPr>
        <b/>
        <vertAlign val="subscript"/>
        <sz val="9"/>
        <rFont val="Times New Roman"/>
        <family val="1"/>
      </rPr>
      <t>2</t>
    </r>
    <r>
      <rPr>
        <b/>
        <sz val="9"/>
        <rFont val="Times New Roman"/>
        <family val="1"/>
      </rPr>
      <t xml:space="preserve"> (t)/km</t>
    </r>
  </si>
  <si>
    <r>
      <t>Total eCO</t>
    </r>
    <r>
      <rPr>
        <b/>
        <vertAlign val="subscript"/>
        <sz val="9"/>
        <rFont val="Times New Roman"/>
        <family val="1"/>
      </rPr>
      <t>2</t>
    </r>
    <r>
      <rPr>
        <b/>
        <sz val="9"/>
        <rFont val="Times New Roman"/>
        <family val="1"/>
      </rPr>
      <t xml:space="preserve"> (t)/# of Vehicles</t>
    </r>
  </si>
  <si>
    <r>
      <t>Total eCO</t>
    </r>
    <r>
      <rPr>
        <b/>
        <vertAlign val="subscript"/>
        <sz val="9"/>
        <rFont val="Times New Roman"/>
        <family val="1"/>
      </rPr>
      <t>2</t>
    </r>
    <r>
      <rPr>
        <b/>
        <sz val="9"/>
        <rFont val="Times New Roman"/>
        <family val="1"/>
      </rPr>
      <t xml:space="preserve"> (t)/Streetlight</t>
    </r>
  </si>
  <si>
    <r>
      <t>Total eCO</t>
    </r>
    <r>
      <rPr>
        <b/>
        <vertAlign val="subscript"/>
        <sz val="9"/>
        <rFont val="Times New Roman"/>
        <family val="1"/>
      </rPr>
      <t>2</t>
    </r>
    <r>
      <rPr>
        <b/>
        <sz val="9"/>
        <rFont val="Times New Roman"/>
        <family val="1"/>
      </rPr>
      <t xml:space="preserve"> (t)/Output (L)</t>
    </r>
  </si>
  <si>
    <r>
      <t>eCO</t>
    </r>
    <r>
      <rPr>
        <vertAlign val="subscript"/>
        <sz val="10"/>
        <rFont val="Times New Roman"/>
        <family val="1"/>
      </rPr>
      <t>2</t>
    </r>
    <r>
      <rPr>
        <sz val="10"/>
        <rFont val="Times New Roman"/>
        <family val="0"/>
      </rPr>
      <t xml:space="preserve"> Emissions (t):</t>
    </r>
  </si>
  <si>
    <r>
      <t>Total eCO</t>
    </r>
    <r>
      <rPr>
        <b/>
        <i/>
        <vertAlign val="subscript"/>
        <sz val="10"/>
        <rFont val="Times New Roman"/>
        <family val="1"/>
      </rPr>
      <t>2</t>
    </r>
    <r>
      <rPr>
        <b/>
        <i/>
        <sz val="10"/>
        <rFont val="Times New Roman"/>
        <family val="1"/>
      </rPr>
      <t>/Indicator</t>
    </r>
  </si>
  <si>
    <r>
      <t>Total eCO</t>
    </r>
    <r>
      <rPr>
        <b/>
        <vertAlign val="subscript"/>
        <sz val="10"/>
        <rFont val="Times New Roman"/>
        <family val="1"/>
      </rPr>
      <t>2</t>
    </r>
    <r>
      <rPr>
        <b/>
        <sz val="10"/>
        <rFont val="Times New Roman"/>
        <family val="1"/>
      </rPr>
      <t xml:space="preserve"> (t)</t>
    </r>
  </si>
  <si>
    <r>
      <t>Energy Costs and eCO</t>
    </r>
    <r>
      <rPr>
        <b/>
        <vertAlign val="subscript"/>
        <sz val="10"/>
        <rFont val="Times New Roman"/>
        <family val="1"/>
      </rPr>
      <t>2</t>
    </r>
    <r>
      <rPr>
        <b/>
        <sz val="10"/>
        <rFont val="Times New Roman"/>
        <family val="1"/>
      </rPr>
      <t xml:space="preserve"> Emissions by Sector</t>
    </r>
  </si>
  <si>
    <r>
      <t>Energy Costs and eCO</t>
    </r>
    <r>
      <rPr>
        <b/>
        <vertAlign val="subscript"/>
        <sz val="10"/>
        <rFont val="Times New Roman"/>
        <family val="1"/>
      </rPr>
      <t>2</t>
    </r>
    <r>
      <rPr>
        <b/>
        <sz val="10"/>
        <rFont val="Times New Roman"/>
        <family val="1"/>
      </rPr>
      <t xml:space="preserve"> Emission by Source</t>
    </r>
  </si>
  <si>
    <r>
      <t>eCO</t>
    </r>
    <r>
      <rPr>
        <b/>
        <vertAlign val="subscript"/>
        <sz val="10"/>
        <rFont val="Times New Roman"/>
        <family val="1"/>
      </rPr>
      <t>2</t>
    </r>
    <r>
      <rPr>
        <b/>
        <sz val="10"/>
        <rFont val="Times New Roman"/>
        <family val="1"/>
      </rPr>
      <t xml:space="preserve"> Emissions (t)</t>
    </r>
  </si>
  <si>
    <r>
      <t>Electricity eCO</t>
    </r>
    <r>
      <rPr>
        <vertAlign val="subscript"/>
        <sz val="10"/>
        <rFont val="Times New Roman"/>
        <family val="1"/>
      </rPr>
      <t>2</t>
    </r>
    <r>
      <rPr>
        <sz val="10"/>
        <rFont val="Times New Roman"/>
        <family val="1"/>
      </rPr>
      <t xml:space="preserve"> Coefficients, by Province</t>
    </r>
  </si>
  <si>
    <r>
      <t>Emission Factor (tonnes eCO</t>
    </r>
    <r>
      <rPr>
        <b/>
        <vertAlign val="subscript"/>
        <sz val="10"/>
        <rFont val="Times New Roman"/>
        <family val="1"/>
      </rPr>
      <t>2</t>
    </r>
    <r>
      <rPr>
        <b/>
        <sz val="10"/>
        <rFont val="Times New Roman"/>
        <family val="1"/>
      </rPr>
      <t>/m</t>
    </r>
    <r>
      <rPr>
        <b/>
        <vertAlign val="superscript"/>
        <sz val="10"/>
        <rFont val="Times New Roman"/>
        <family val="1"/>
      </rPr>
      <t>3</t>
    </r>
    <r>
      <rPr>
        <b/>
        <sz val="10"/>
        <rFont val="Times New Roman"/>
        <family val="1"/>
      </rPr>
      <t>)</t>
    </r>
  </si>
  <si>
    <r>
      <t>CO</t>
    </r>
    <r>
      <rPr>
        <b/>
        <vertAlign val="subscript"/>
        <sz val="10"/>
        <rFont val="Times New Roman"/>
        <family val="1"/>
      </rPr>
      <t>2</t>
    </r>
    <r>
      <rPr>
        <b/>
        <sz val="10"/>
        <rFont val="Times New Roman"/>
        <family val="1"/>
      </rPr>
      <t xml:space="preserve"> (tonnes/m</t>
    </r>
    <r>
      <rPr>
        <b/>
        <vertAlign val="superscript"/>
        <sz val="10"/>
        <rFont val="Times New Roman"/>
        <family val="1"/>
      </rPr>
      <t>3</t>
    </r>
    <r>
      <rPr>
        <b/>
        <sz val="10"/>
        <rFont val="Times New Roman"/>
        <family val="1"/>
      </rPr>
      <t>)</t>
    </r>
  </si>
  <si>
    <r>
      <t>CH</t>
    </r>
    <r>
      <rPr>
        <vertAlign val="subscript"/>
        <sz val="10"/>
        <rFont val="Times New Roman"/>
        <family val="1"/>
      </rPr>
      <t>4</t>
    </r>
    <r>
      <rPr>
        <sz val="10"/>
        <rFont val="Times New Roman"/>
        <family val="1"/>
      </rPr>
      <t xml:space="preserve"> (g/m</t>
    </r>
    <r>
      <rPr>
        <vertAlign val="superscript"/>
        <sz val="10"/>
        <rFont val="Times New Roman"/>
        <family val="1"/>
      </rPr>
      <t>3</t>
    </r>
    <r>
      <rPr>
        <sz val="10"/>
        <rFont val="Times New Roman"/>
        <family val="1"/>
      </rPr>
      <t>)</t>
    </r>
  </si>
  <si>
    <r>
      <t>N</t>
    </r>
    <r>
      <rPr>
        <vertAlign val="subscript"/>
        <sz val="10"/>
        <rFont val="Times New Roman"/>
        <family val="1"/>
      </rPr>
      <t>2</t>
    </r>
    <r>
      <rPr>
        <sz val="10"/>
        <rFont val="Times New Roman"/>
        <family val="1"/>
      </rPr>
      <t>O (g/m</t>
    </r>
    <r>
      <rPr>
        <vertAlign val="superscript"/>
        <sz val="10"/>
        <rFont val="Times New Roman"/>
        <family val="1"/>
      </rPr>
      <t>3</t>
    </r>
    <r>
      <rPr>
        <sz val="10"/>
        <rFont val="Times New Roman"/>
        <family val="1"/>
      </rPr>
      <t>)</t>
    </r>
  </si>
  <si>
    <r>
      <t>CO</t>
    </r>
    <r>
      <rPr>
        <b/>
        <vertAlign val="subscript"/>
        <sz val="10"/>
        <rFont val="Times New Roman"/>
        <family val="1"/>
      </rPr>
      <t>2</t>
    </r>
    <r>
      <rPr>
        <b/>
        <sz val="10"/>
        <rFont val="Times New Roman"/>
        <family val="1"/>
      </rPr>
      <t>e (tonnes/m</t>
    </r>
    <r>
      <rPr>
        <b/>
        <vertAlign val="superscript"/>
        <sz val="10"/>
        <rFont val="Times New Roman"/>
        <family val="1"/>
      </rPr>
      <t>3</t>
    </r>
    <r>
      <rPr>
        <b/>
        <sz val="10"/>
        <rFont val="Times New Roman"/>
        <family val="1"/>
      </rPr>
      <t>)</t>
    </r>
  </si>
  <si>
    <t>Biodiesel (B5)</t>
  </si>
  <si>
    <t>Biodiesel (B10)</t>
  </si>
  <si>
    <t>Biodiesel (B20)</t>
  </si>
  <si>
    <t>Ethanol Blend (10%)</t>
  </si>
  <si>
    <t>Ethanol (E85)</t>
  </si>
  <si>
    <t>Total eCO2 (t)</t>
  </si>
  <si>
    <t>Ethanol Blend (10%) (L)</t>
  </si>
  <si>
    <t>Biodiesel (B5) (L)</t>
  </si>
  <si>
    <t>Biodiesel (B10) (L)</t>
  </si>
  <si>
    <t>Biodiesel (B20) (L)</t>
  </si>
  <si>
    <t>Vehicle Efficiency for Different Fuels (L/100km)*</t>
  </si>
  <si>
    <t>Compressed Natural Gas**</t>
  </si>
  <si>
    <r>
      <t xml:space="preserve">* Efficiencies are from NR Can </t>
    </r>
    <r>
      <rPr>
        <i/>
        <sz val="10"/>
        <rFont val="Times New Roman"/>
        <family val="1"/>
      </rPr>
      <t>2007 Vehicle Survey</t>
    </r>
    <r>
      <rPr>
        <sz val="10"/>
        <rFont val="Times New Roman"/>
        <family val="1"/>
      </rPr>
      <t xml:space="preserve"> and BC Ministry of the Environment 2011 </t>
    </r>
    <r>
      <rPr>
        <i/>
        <sz val="10"/>
        <rFont val="Times New Roman"/>
        <family val="1"/>
      </rPr>
      <t>Methodology for Reporting BC Public Sector Greenhouse Gas Emissions</t>
    </r>
    <r>
      <rPr>
        <sz val="10"/>
        <rFont val="Times New Roman"/>
        <family val="1"/>
      </rPr>
      <t xml:space="preserve">
** expressed in kg/100km </t>
    </r>
  </si>
  <si>
    <t>Corporate Inventory Year (btw 1990 &amp; 2012):</t>
  </si>
  <si>
    <t>Community Inventory Year (btw 1990 and 2012):</t>
  </si>
  <si>
    <t>Energy (GJ)</t>
  </si>
  <si>
    <t xml:space="preserve">Fuel type  </t>
  </si>
  <si>
    <t>Unit</t>
  </si>
  <si>
    <t>Energy Conversion Factors adapted from:</t>
  </si>
  <si>
    <t>kg</t>
  </si>
  <si>
    <t>m3</t>
  </si>
  <si>
    <t>Statistics Canada's Report on Energy Supply-Demand in Canada 2009</t>
  </si>
  <si>
    <t xml:space="preserve">1 cord of wood weighs approximately 1089 kg </t>
  </si>
  <si>
    <t>Ethanol</t>
  </si>
  <si>
    <t>Biodiesel</t>
  </si>
  <si>
    <t>Other converion information</t>
  </si>
  <si>
    <t>http://www.itecref.com/resources-converter.html</t>
  </si>
  <si>
    <t>MJ/L</t>
  </si>
  <si>
    <t>Megajoules/Unit</t>
  </si>
  <si>
    <t>Total Energy (GJ)</t>
  </si>
  <si>
    <t>Option 2: Fuel Sales</t>
  </si>
  <si>
    <t>Fuel</t>
  </si>
  <si>
    <t>Total Emissions (t CO2e)</t>
  </si>
  <si>
    <t>Frequency of pickup (times/month)</t>
  </si>
  <si>
    <t>Location</t>
  </si>
  <si>
    <r>
      <t>Energy Usage and eCO</t>
    </r>
    <r>
      <rPr>
        <b/>
        <vertAlign val="subscript"/>
        <sz val="10"/>
        <rFont val="Times New Roman"/>
        <family val="1"/>
      </rPr>
      <t>2</t>
    </r>
    <r>
      <rPr>
        <b/>
        <sz val="10"/>
        <rFont val="Times New Roman"/>
        <family val="1"/>
      </rPr>
      <t xml:space="preserve"> Emission by Source</t>
    </r>
  </si>
  <si>
    <r>
      <t>Energy Usage and eCO</t>
    </r>
    <r>
      <rPr>
        <b/>
        <vertAlign val="subscript"/>
        <sz val="10"/>
        <rFont val="Times New Roman"/>
        <family val="1"/>
      </rPr>
      <t>2</t>
    </r>
    <r>
      <rPr>
        <b/>
        <sz val="10"/>
        <rFont val="Times New Roman"/>
        <family val="1"/>
      </rPr>
      <t xml:space="preserve"> Emissions by Sector</t>
    </r>
  </si>
  <si>
    <r>
      <t>Select</t>
    </r>
    <r>
      <rPr>
        <b/>
        <sz val="10"/>
        <rFont val="Times New Roman"/>
        <family val="1"/>
      </rPr>
      <t xml:space="preserve"> </t>
    </r>
    <r>
      <rPr>
        <b/>
        <u val="single"/>
        <sz val="10"/>
        <rFont val="Times New Roman"/>
        <family val="1"/>
      </rPr>
      <t>one</t>
    </r>
    <r>
      <rPr>
        <sz val="10"/>
        <rFont val="Times New Roman"/>
        <family val="1"/>
      </rPr>
      <t xml:space="preserve"> of the two methods below to calculate your transportation emissions</t>
    </r>
  </si>
  <si>
    <t>National Inventory Report - Environment Canada 1990-2010</t>
  </si>
  <si>
    <t>www.epa.gov/osw/conserve/tools/recmeas/docs/guide_b.pdf</t>
  </si>
  <si>
    <t>Solid Waste Association of North America, Manager of Landfill Operations Training and Certification Course. January 1989. Revised June 1991 and October 1994.</t>
  </si>
  <si>
    <t>* 1 cubic yard = 0.76455 cubic meters</t>
  </si>
  <si>
    <t xml:space="preserve">   1 cubic meter = 1.30795 cubic yards</t>
  </si>
  <si>
    <t>Base Year</t>
  </si>
  <si>
    <t>* PCP recommends calculating a BAU estimate for approximately 10 years after the baseline year</t>
  </si>
  <si>
    <t>Current emissions</t>
  </si>
  <si>
    <t>Emissions in Forecast year</t>
  </si>
  <si>
    <t>Things to consider when estimating % Change Expected:</t>
  </si>
  <si>
    <t>Fleet</t>
  </si>
  <si>
    <t>Lighting</t>
  </si>
  <si>
    <r>
      <t>Total Emissions (t CO</t>
    </r>
    <r>
      <rPr>
        <vertAlign val="subscript"/>
        <sz val="11"/>
        <color indexed="8"/>
        <rFont val="Calibri"/>
        <family val="2"/>
      </rPr>
      <t>2</t>
    </r>
    <r>
      <rPr>
        <sz val="10"/>
        <rFont val="Times New Roman"/>
        <family val="0"/>
      </rPr>
      <t>e)</t>
    </r>
  </si>
  <si>
    <t>Data for Line Graph</t>
  </si>
  <si>
    <t>Data for Bar Graph</t>
  </si>
  <si>
    <t>BAU</t>
  </si>
  <si>
    <t>Baseline</t>
  </si>
  <si>
    <r>
      <t xml:space="preserve">General Info Tab (green), </t>
    </r>
    <r>
      <rPr>
        <b/>
        <sz val="10"/>
        <rFont val="Arial"/>
        <family val="2"/>
      </rPr>
      <t xml:space="preserve">must be filled in </t>
    </r>
  </si>
  <si>
    <t>Water &amp; Sewage</t>
  </si>
  <si>
    <r>
      <t>•</t>
    </r>
    <r>
      <rPr>
        <b/>
        <sz val="18"/>
        <color indexed="9"/>
        <rFont val="Arial"/>
        <family val="2"/>
      </rPr>
      <t>Business-as-Usual</t>
    </r>
  </si>
  <si>
    <t>Corporate info</t>
  </si>
  <si>
    <t>Forecast Year*</t>
  </si>
  <si>
    <t>Name of Municipal Government:</t>
  </si>
  <si>
    <t>Year</t>
  </si>
  <si>
    <t>Average distance travelled by light vehicles (km)</t>
  </si>
  <si>
    <t>Light vehicles per household</t>
  </si>
  <si>
    <t>Explanation for % change expected</t>
  </si>
  <si>
    <t>EPA uncompacted mixed solid waste volume to weight conversion: 150-300lbs/y³ MSW = average of 225lbs/y3</t>
  </si>
  <si>
    <t>Tonnes of eCO2/tonne of waste:</t>
  </si>
  <si>
    <t>Tonnes of waste per cubic yard:</t>
  </si>
  <si>
    <t>Converted to metric units</t>
  </si>
  <si>
    <t>- Expected population growth in your community</t>
  </si>
  <si>
    <t>- Any major projects that are planned or currently underway which will significantly increase/reduce emmisions (i.e. new community center being built or landfill gas capture facility)</t>
  </si>
  <si>
    <t>http://oee.nrcan.gc.ca/publications/statistics/cvs09/pdf/cvs09.pdf</t>
  </si>
  <si>
    <t xml:space="preserve">If no accurate data is available for waste, consider the following method for estimating the amount of waste produced  </t>
  </si>
  <si>
    <t>Although the spreadsheet does not include tools to quantify eCO2 reductions from measures, it allows PCP communities to successfully complete the inventory component of Milestone One. The data collected and analyzed with this spreadsheet tool will be transferable to additional Milestone support tools currently under development by PCP.</t>
  </si>
  <si>
    <t>Reduction Target by Forecast Year* (%)</t>
  </si>
  <si>
    <t>% Change Expected**</t>
  </si>
  <si>
    <t>** For expected decreases, enter a minus symbol before the number</t>
  </si>
  <si>
    <t>Community info</t>
  </si>
  <si>
    <t>Garbage bin capacity (cubic yards)*</t>
  </si>
  <si>
    <t>Estimated annual amount of waste (tonnes)</t>
  </si>
  <si>
    <t>On average, how full is bin at pickup? (%)</t>
  </si>
  <si>
    <t>To calculate eCO2 emissions, enter this total into cell D8 above</t>
  </si>
  <si>
    <t>VKT can be estimated by looking at the number of households in your community</t>
  </si>
  <si>
    <t>Option 1: Vehicle Kilometers Travelled (Recommended)</t>
  </si>
  <si>
    <t>VKT Averages</t>
  </si>
  <si>
    <t>National</t>
  </si>
  <si>
    <t>Provincial</t>
  </si>
  <si>
    <t>Territories</t>
  </si>
  <si>
    <t>Canadian Average</t>
  </si>
  <si>
    <t xml:space="preserve">Taken from Figure  10, 11, 14, 15, and 22 of NR Can 2009 Vehicle Survey </t>
  </si>
  <si>
    <t>Average distance per vehicle</t>
  </si>
  <si>
    <t>Number of households</t>
  </si>
  <si>
    <t>Average vehicles per household</t>
  </si>
  <si>
    <t>Estimated annual VKT</t>
  </si>
  <si>
    <t>If modeled VKT data is not available for your community, consider the following option to estimate this total.</t>
  </si>
  <si>
    <t>Insert comment here.  (ie. Based on fuel sales at all local stations)</t>
  </si>
  <si>
    <t>Tabs highlighted in purple are for emission factors and other reference information</t>
  </si>
  <si>
    <t>(kilograms)</t>
  </si>
  <si>
    <t>The electricity emission coefficients used in the calcuation of the eCO2 emissions were developed for Canada's National Inventory Report - Environment Canada 1990-2010.  They represent the average amount of eCO2 emissions per unit of electricity within each province/territory.  If your municipal government's electricity source differs from that of the rest of the province/territory, you should update the electricity emission coefficients.  Please contact PCP's technical support providers to discuss this option: 
ICLEI-Canada, (647) 728-4308, pcp@iclei.org.</t>
  </si>
  <si>
    <t>If you require background information on greenhouse gas (GHG) emission inventories and the protocol, please refer to the document entitled "Frequently asked questions on inventories" available on the PCP website: http://www.fcm.ca/PCP</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</si>
</sst>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00"/>
    <numFmt numFmtId="174" formatCode="0.00000"/>
    <numFmt numFmtId="175" formatCode="0.0000"/>
    <numFmt numFmtId="176" formatCode="0.000000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1009]mmmm\ d\,\ yyyy;@"/>
    <numFmt numFmtId="183" formatCode="0.0%"/>
    <numFmt numFmtId="184" formatCode="0.0000%"/>
  </numFmts>
  <fonts count="96">
    <font>
      <sz val="10"/>
      <name val="Times New Roman"/>
      <family val="0"/>
    </font>
    <font>
      <sz val="11"/>
      <color indexed="8"/>
      <name val="Calibri"/>
      <family val="2"/>
    </font>
    <font>
      <b/>
      <sz val="18"/>
      <name val="Times New Roman"/>
      <family val="1"/>
    </font>
    <font>
      <b/>
      <i/>
      <sz val="10"/>
      <name val="Times New Roman"/>
      <family val="1"/>
    </font>
    <font>
      <b/>
      <sz val="10"/>
      <name val="Times New Roman"/>
      <family val="1"/>
    </font>
    <font>
      <i/>
      <sz val="10"/>
      <name val="Times New Roman"/>
      <family val="1"/>
    </font>
    <font>
      <i/>
      <vertAlign val="superscript"/>
      <sz val="10"/>
      <name val="Times New Roman"/>
      <family val="1"/>
    </font>
    <font>
      <b/>
      <i/>
      <sz val="12"/>
      <name val="Times New Roman"/>
      <family val="1"/>
    </font>
    <font>
      <b/>
      <sz val="9"/>
      <name val="Times New Roman"/>
      <family val="1"/>
    </font>
    <font>
      <b/>
      <vertAlign val="superscript"/>
      <sz val="9"/>
      <name val="Times New Roman"/>
      <family val="1"/>
    </font>
    <font>
      <sz val="9"/>
      <name val="Times New Roman"/>
      <family val="1"/>
    </font>
    <font>
      <b/>
      <sz val="8"/>
      <name val="Times New Roman"/>
      <family val="1"/>
    </font>
    <font>
      <sz val="8"/>
      <name val="Times New Roman"/>
      <family val="1"/>
    </font>
    <font>
      <sz val="8"/>
      <name val="Tahoma"/>
      <family val="2"/>
    </font>
    <font>
      <b/>
      <sz val="10"/>
      <name val="Arial"/>
      <family val="2"/>
    </font>
    <font>
      <sz val="10"/>
      <name val="Arial"/>
      <family val="2"/>
    </font>
    <font>
      <b/>
      <sz val="24"/>
      <color indexed="51"/>
      <name val="Arial"/>
      <family val="2"/>
    </font>
    <font>
      <b/>
      <sz val="18"/>
      <color indexed="9"/>
      <name val="Times New Roman"/>
      <family val="1"/>
    </font>
    <font>
      <b/>
      <sz val="18"/>
      <color indexed="9"/>
      <name val="Arial"/>
      <family val="2"/>
    </font>
    <font>
      <b/>
      <sz val="24"/>
      <color indexed="51"/>
      <name val="Times New Roman"/>
      <family val="1"/>
    </font>
    <font>
      <i/>
      <sz val="10"/>
      <name val="Arial"/>
      <family val="2"/>
    </font>
    <font>
      <b/>
      <i/>
      <u val="single"/>
      <sz val="10"/>
      <name val="Arial"/>
      <family val="2"/>
    </font>
    <font>
      <b/>
      <u val="single"/>
      <sz val="10"/>
      <name val="Arial"/>
      <family val="2"/>
    </font>
    <font>
      <b/>
      <sz val="12"/>
      <name val="Times New Roman"/>
      <family val="1"/>
    </font>
    <font>
      <b/>
      <sz val="14"/>
      <name val="Calibri"/>
      <family val="2"/>
    </font>
    <font>
      <b/>
      <vertAlign val="subscript"/>
      <sz val="10"/>
      <name val="Times New Roman"/>
      <family val="1"/>
    </font>
    <font>
      <vertAlign val="subscript"/>
      <sz val="10"/>
      <name val="Times New Roman"/>
      <family val="1"/>
    </font>
    <font>
      <vertAlign val="subscript"/>
      <sz val="10"/>
      <name val="Arial"/>
      <family val="2"/>
    </font>
    <font>
      <b/>
      <vertAlign val="subscript"/>
      <sz val="10"/>
      <name val="Arial"/>
      <family val="2"/>
    </font>
    <font>
      <vertAlign val="superscript"/>
      <sz val="10"/>
      <name val="Times New Roman"/>
      <family val="1"/>
    </font>
    <font>
      <b/>
      <vertAlign val="subscript"/>
      <sz val="9"/>
      <name val="Times New Roman"/>
      <family val="1"/>
    </font>
    <font>
      <b/>
      <i/>
      <vertAlign val="subscript"/>
      <sz val="10"/>
      <name val="Times New Roman"/>
      <family val="1"/>
    </font>
    <font>
      <b/>
      <vertAlign val="superscript"/>
      <sz val="10"/>
      <name val="Times New Roman"/>
      <family val="1"/>
    </font>
    <font>
      <sz val="9"/>
      <name val="Tahoma"/>
      <family val="2"/>
    </font>
    <font>
      <i/>
      <sz val="9"/>
      <name val="Tahoma"/>
      <family val="2"/>
    </font>
    <font>
      <b/>
      <u val="single"/>
      <sz val="10"/>
      <name val="Times New Roman"/>
      <family val="1"/>
    </font>
    <font>
      <sz val="10"/>
      <name val="Calibri"/>
      <family val="2"/>
    </font>
    <font>
      <sz val="11"/>
      <name val="Calibri"/>
      <family val="2"/>
    </font>
    <font>
      <vertAlign val="subscript"/>
      <sz val="11"/>
      <color indexed="8"/>
      <name val="Calibri"/>
      <family val="2"/>
    </font>
    <font>
      <sz val="10"/>
      <color indexed="8"/>
      <name val="Calibri"/>
      <family val="0"/>
    </font>
    <font>
      <sz val="9.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imes New Roman"/>
      <family val="1"/>
    </font>
    <font>
      <sz val="12"/>
      <name val="Calibri"/>
      <family val="2"/>
    </font>
    <font>
      <b/>
      <sz val="14"/>
      <color indexed="8"/>
      <name val="Calibri"/>
      <family val="2"/>
    </font>
    <font>
      <b/>
      <sz val="12"/>
      <color indexed="9"/>
      <name val="Times New Roman"/>
      <family val="1"/>
    </font>
    <font>
      <sz val="10"/>
      <color indexed="10"/>
      <name val="Times New Roman"/>
      <family val="1"/>
    </font>
    <font>
      <sz val="10"/>
      <color indexed="63"/>
      <name val="Times New Roman"/>
      <family val="1"/>
    </font>
    <font>
      <sz val="10"/>
      <color indexed="9"/>
      <name val="Arial"/>
      <family val="2"/>
    </font>
    <font>
      <sz val="8"/>
      <name val="Segoe UI"/>
      <family val="2"/>
    </font>
    <font>
      <b/>
      <sz val="18"/>
      <color indexed="8"/>
      <name val="Calibri"/>
      <family val="0"/>
    </font>
    <font>
      <b/>
      <sz val="10"/>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name val="Times New Roman"/>
      <family val="1"/>
    </font>
    <font>
      <sz val="10"/>
      <color theme="0"/>
      <name val="Times New Roman"/>
      <family val="1"/>
    </font>
    <font>
      <b/>
      <sz val="14"/>
      <color theme="1"/>
      <name val="Calibri"/>
      <family val="2"/>
    </font>
    <font>
      <b/>
      <sz val="12"/>
      <color theme="0"/>
      <name val="Times New Roman"/>
      <family val="1"/>
    </font>
    <font>
      <sz val="10"/>
      <color rgb="FFFF0000"/>
      <name val="Times New Roman"/>
      <family val="1"/>
    </font>
    <font>
      <sz val="10"/>
      <color rgb="FF29292A"/>
      <name val="Times New Roman"/>
      <family val="1"/>
    </font>
    <font>
      <sz val="10"/>
      <color theme="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1"/>
        <bgColor indexed="64"/>
      </patternFill>
    </fill>
    <fill>
      <patternFill patternType="solid">
        <fgColor rgb="FF00B0F0"/>
        <bgColor indexed="64"/>
      </patternFill>
    </fill>
    <fill>
      <patternFill patternType="solid">
        <fgColor rgb="FF92D050"/>
        <bgColor indexed="64"/>
      </patternFill>
    </fill>
    <fill>
      <patternFill patternType="solid">
        <fgColor rgb="FFCCECFF"/>
        <bgColor indexed="64"/>
      </patternFill>
    </fill>
    <fill>
      <patternFill patternType="solid">
        <fgColor rgb="FF008887"/>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E144"/>
        <bgColor indexed="64"/>
      </patternFill>
    </fill>
    <fill>
      <patternFill patternType="solid">
        <fgColor rgb="FF00ACA8"/>
        <bgColor indexed="64"/>
      </patternFill>
    </fill>
    <fill>
      <patternFill patternType="solid">
        <fgColor rgb="FFFFFF00"/>
        <bgColor indexed="64"/>
      </patternFill>
    </fill>
    <fill>
      <patternFill patternType="solid">
        <fgColor rgb="FF002060"/>
        <bgColor indexed="64"/>
      </patternFill>
    </fill>
    <fill>
      <patternFill patternType="solid">
        <fgColor rgb="FFA6D86E"/>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right style="medium"/>
      <top style="medium"/>
      <bottom style="thin"/>
    </border>
    <border>
      <left/>
      <right style="medium"/>
      <top style="thin"/>
      <bottom style="thin"/>
    </border>
    <border>
      <left/>
      <right style="medium"/>
      <top style="thin"/>
      <bottom style="medium"/>
    </border>
    <border>
      <left style="thin"/>
      <right style="medium"/>
      <top style="medium"/>
      <bottom style="thin"/>
    </border>
    <border>
      <left style="thin"/>
      <right style="thin"/>
      <top style="medium"/>
      <bottom style="thin"/>
    </border>
    <border>
      <left style="medium"/>
      <right style="thin"/>
      <top style="thin"/>
      <bottom/>
    </border>
    <border>
      <left style="thin"/>
      <right style="medium"/>
      <top style="thin"/>
      <bottom style="thin"/>
    </border>
    <border>
      <left style="thin"/>
      <right style="medium"/>
      <top style="thin"/>
      <bottom style="medium"/>
    </border>
    <border>
      <left style="thick"/>
      <right style="thick"/>
      <top style="thick"/>
      <bottom style="thick"/>
    </border>
    <border diagonalUp="1">
      <left/>
      <right/>
      <top/>
      <bottom/>
      <diagonal style="thin"/>
    </border>
    <border>
      <left/>
      <right/>
      <top style="thick">
        <color theme="7"/>
      </top>
      <bottom/>
    </border>
    <border>
      <left/>
      <right style="thick">
        <color theme="7"/>
      </right>
      <top style="thick">
        <color theme="7"/>
      </top>
      <bottom/>
    </border>
    <border>
      <left style="thick">
        <color theme="7"/>
      </left>
      <right/>
      <top/>
      <bottom/>
    </border>
    <border>
      <left/>
      <right style="thick">
        <color theme="7"/>
      </right>
      <top/>
      <bottom/>
    </border>
    <border>
      <left style="thick">
        <color theme="8" tint="-0.24993999302387238"/>
      </left>
      <right/>
      <top style="thick">
        <color theme="8" tint="-0.24993999302387238"/>
      </top>
      <bottom/>
    </border>
    <border>
      <left/>
      <right/>
      <top style="thick">
        <color theme="8" tint="-0.24993999302387238"/>
      </top>
      <bottom/>
    </border>
    <border>
      <left/>
      <right style="thick">
        <color theme="8" tint="-0.24993999302387238"/>
      </right>
      <top style="thick">
        <color theme="8" tint="-0.24993999302387238"/>
      </top>
      <bottom/>
    </border>
    <border>
      <left style="thick">
        <color theme="8" tint="-0.24993999302387238"/>
      </left>
      <right/>
      <top/>
      <bottom/>
    </border>
    <border>
      <left/>
      <right style="thick">
        <color theme="8" tint="-0.24993999302387238"/>
      </right>
      <top/>
      <bottom/>
    </border>
    <border>
      <left style="thin"/>
      <right/>
      <top style="medium"/>
      <bottom style="thin"/>
    </border>
    <border>
      <left/>
      <right style="thin"/>
      <top style="medium"/>
      <bottom style="thin"/>
    </border>
    <border>
      <left style="thick">
        <color theme="7"/>
      </left>
      <right/>
      <top/>
      <bottom style="thick">
        <color theme="7"/>
      </bottom>
    </border>
    <border>
      <left/>
      <right/>
      <top/>
      <bottom style="thick">
        <color theme="7"/>
      </bottom>
    </border>
    <border>
      <left/>
      <right style="thick">
        <color theme="7"/>
      </right>
      <top/>
      <bottom style="thick">
        <color theme="7"/>
      </bottom>
    </border>
    <border>
      <left style="thick">
        <color theme="8" tint="-0.24993999302387238"/>
      </left>
      <right/>
      <top/>
      <bottom style="thick">
        <color theme="8" tint="-0.24993999302387238"/>
      </bottom>
    </border>
    <border>
      <left/>
      <right/>
      <top/>
      <bottom style="thick">
        <color theme="8" tint="-0.24993999302387238"/>
      </bottom>
    </border>
    <border>
      <left/>
      <right style="thick">
        <color theme="8" tint="-0.24993999302387238"/>
      </right>
      <top/>
      <bottom style="thick">
        <color theme="8" tint="-0.24993999302387238"/>
      </bottom>
    </border>
    <border>
      <left style="thin"/>
      <right style="medium"/>
      <top style="thin"/>
      <bottom/>
    </border>
    <border>
      <left>
        <color indexed="63"/>
      </left>
      <right>
        <color indexed="63"/>
      </right>
      <top style="medium"/>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top style="thin"/>
      <bottom style="thin"/>
    </border>
    <border>
      <left style="thin"/>
      <right/>
      <top style="thin"/>
      <bottom style="medium"/>
    </border>
    <border>
      <left>
        <color indexed="63"/>
      </left>
      <right>
        <color indexed="63"/>
      </right>
      <top style="thin"/>
      <bottom>
        <color indexed="63"/>
      </bottom>
    </border>
    <border>
      <left>
        <color indexed="63"/>
      </left>
      <right style="thin"/>
      <top style="thin"/>
      <bottom>
        <color indexed="63"/>
      </bottom>
    </border>
    <border>
      <left/>
      <right/>
      <top style="thin"/>
      <bottom style="thin"/>
    </border>
    <border>
      <left style="thin"/>
      <right>
        <color indexed="63"/>
      </right>
      <top style="thin"/>
      <bottom/>
    </border>
    <border>
      <left style="medium"/>
      <right style="medium"/>
      <top style="medium"/>
      <bottom/>
    </border>
    <border>
      <left style="medium"/>
      <right style="medium"/>
      <top style="medium"/>
      <bottom style="medium"/>
    </border>
    <border>
      <left style="medium"/>
      <right/>
      <top/>
      <bottom/>
    </border>
    <border>
      <left>
        <color indexed="63"/>
      </left>
      <right style="thin"/>
      <top>
        <color indexed="63"/>
      </top>
      <bottom>
        <color indexed="63"/>
      </bottom>
    </border>
    <border>
      <left/>
      <right/>
      <top style="thin"/>
      <bottom style="medium"/>
    </border>
    <border>
      <left/>
      <right style="thin"/>
      <top style="thin"/>
      <bottom style="thin"/>
    </border>
    <border>
      <left/>
      <right style="medium"/>
      <top style="medium"/>
      <bottom style="medium"/>
    </border>
    <border>
      <left style="thin"/>
      <right>
        <color indexed="63"/>
      </right>
      <top>
        <color indexed="63"/>
      </top>
      <bottom style="thin"/>
    </border>
    <border>
      <left>
        <color indexed="63"/>
      </left>
      <right style="medium"/>
      <top>
        <color indexed="63"/>
      </top>
      <bottom style="thin"/>
    </border>
    <border>
      <left style="medium"/>
      <right/>
      <top style="medium"/>
      <bottom style="thin"/>
    </border>
    <border>
      <left style="medium"/>
      <right/>
      <top style="thin"/>
      <bottom style="thin"/>
    </border>
    <border>
      <left style="medium"/>
      <right>
        <color indexed="63"/>
      </right>
      <top style="thin"/>
      <bottom/>
    </border>
    <border>
      <left>
        <color indexed="63"/>
      </left>
      <right style="medium"/>
      <top style="thin"/>
      <bottom/>
    </border>
    <border>
      <left style="medium"/>
      <right/>
      <top/>
      <bottom style="medium"/>
    </border>
    <border>
      <left/>
      <right/>
      <top/>
      <bottom style="medium"/>
    </border>
    <border>
      <left/>
      <right style="medium"/>
      <top/>
      <bottom style="medium"/>
    </border>
    <border>
      <left/>
      <right style="thin"/>
      <top style="thin"/>
      <bottom style="medium"/>
    </border>
    <border>
      <left>
        <color indexed="63"/>
      </left>
      <right>
        <color indexed="63"/>
      </right>
      <top style="medium"/>
      <bottom>
        <color indexed="63"/>
      </bottom>
    </border>
    <border>
      <left style="thick">
        <color theme="7"/>
      </left>
      <right/>
      <top style="thick">
        <color theme="7"/>
      </top>
      <bottom/>
    </border>
    <border>
      <left>
        <color indexed="63"/>
      </left>
      <right style="medium"/>
      <top>
        <color indexed="63"/>
      </top>
      <bottom>
        <color indexed="63"/>
      </bottom>
    </border>
    <border>
      <left style="medium"/>
      <right/>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04">
    <xf numFmtId="0" fontId="0" fillId="0" borderId="0" xfId="0" applyAlignment="1">
      <alignment/>
    </xf>
    <xf numFmtId="11" fontId="0" fillId="0" borderId="0" xfId="0" applyNumberFormat="1" applyAlignment="1">
      <alignment/>
    </xf>
    <xf numFmtId="0" fontId="0" fillId="0" borderId="10" xfId="0" applyBorder="1" applyAlignment="1">
      <alignment/>
    </xf>
    <xf numFmtId="0" fontId="0" fillId="0" borderId="11" xfId="0"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5" fillId="0" borderId="0" xfId="0" applyFont="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0" borderId="18" xfId="0" applyFont="1" applyBorder="1" applyAlignment="1">
      <alignment horizontal="center"/>
    </xf>
    <xf numFmtId="0" fontId="8" fillId="0" borderId="14" xfId="0" applyFont="1" applyBorder="1" applyAlignment="1">
      <alignment/>
    </xf>
    <xf numFmtId="0" fontId="8" fillId="0" borderId="19" xfId="0" applyFont="1" applyBorder="1" applyAlignment="1">
      <alignment/>
    </xf>
    <xf numFmtId="0" fontId="8" fillId="0" borderId="0" xfId="0" applyFont="1" applyAlignment="1">
      <alignment/>
    </xf>
    <xf numFmtId="0" fontId="8" fillId="0" borderId="11" xfId="0" applyFont="1" applyBorder="1" applyAlignment="1">
      <alignment/>
    </xf>
    <xf numFmtId="0" fontId="8" fillId="0" borderId="10" xfId="0" applyFont="1" applyBorder="1" applyAlignment="1">
      <alignment/>
    </xf>
    <xf numFmtId="0" fontId="8" fillId="0" borderId="10" xfId="0" applyFont="1" applyBorder="1" applyAlignment="1">
      <alignment wrapText="1"/>
    </xf>
    <xf numFmtId="0" fontId="10" fillId="0" borderId="0" xfId="0" applyFont="1" applyAlignment="1">
      <alignment/>
    </xf>
    <xf numFmtId="0" fontId="8" fillId="0" borderId="12" xfId="0" applyFont="1" applyBorder="1" applyAlignment="1">
      <alignment/>
    </xf>
    <xf numFmtId="3" fontId="8" fillId="0" borderId="13" xfId="0" applyNumberFormat="1" applyFont="1" applyBorder="1" applyAlignment="1">
      <alignment horizontal="right"/>
    </xf>
    <xf numFmtId="3" fontId="8" fillId="0" borderId="13" xfId="0" applyNumberFormat="1" applyFont="1" applyBorder="1" applyAlignment="1">
      <alignment/>
    </xf>
    <xf numFmtId="0" fontId="8" fillId="0" borderId="13" xfId="0" applyFont="1" applyBorder="1" applyAlignment="1">
      <alignment/>
    </xf>
    <xf numFmtId="0" fontId="11" fillId="0" borderId="11" xfId="0" applyFont="1" applyBorder="1" applyAlignment="1">
      <alignment/>
    </xf>
    <xf numFmtId="3" fontId="12" fillId="33" borderId="10" xfId="0" applyNumberFormat="1" applyFont="1" applyFill="1" applyBorder="1" applyAlignment="1">
      <alignment/>
    </xf>
    <xf numFmtId="3" fontId="12" fillId="0" borderId="10" xfId="0" applyNumberFormat="1" applyFont="1" applyBorder="1" applyAlignment="1">
      <alignment/>
    </xf>
    <xf numFmtId="0" fontId="12" fillId="0" borderId="10" xfId="0" applyFont="1" applyBorder="1" applyAlignment="1">
      <alignment/>
    </xf>
    <xf numFmtId="0" fontId="12" fillId="0" borderId="0" xfId="0" applyFont="1" applyAlignment="1">
      <alignment/>
    </xf>
    <xf numFmtId="0" fontId="12" fillId="0" borderId="11" xfId="0" applyFont="1" applyBorder="1" applyAlignment="1">
      <alignment/>
    </xf>
    <xf numFmtId="0" fontId="0" fillId="0" borderId="20" xfId="0" applyBorder="1" applyAlignment="1">
      <alignment/>
    </xf>
    <xf numFmtId="4" fontId="0" fillId="0" borderId="0" xfId="0" applyNumberFormat="1" applyAlignment="1">
      <alignment/>
    </xf>
    <xf numFmtId="4" fontId="8" fillId="0" borderId="19" xfId="0" applyNumberFormat="1" applyFont="1" applyBorder="1" applyAlignment="1">
      <alignment/>
    </xf>
    <xf numFmtId="4" fontId="8" fillId="0" borderId="18" xfId="0" applyNumberFormat="1" applyFont="1" applyBorder="1" applyAlignment="1">
      <alignment/>
    </xf>
    <xf numFmtId="4" fontId="8" fillId="0" borderId="10" xfId="0" applyNumberFormat="1" applyFont="1" applyBorder="1" applyAlignment="1">
      <alignment wrapText="1"/>
    </xf>
    <xf numFmtId="4" fontId="8" fillId="0" borderId="10" xfId="0" applyNumberFormat="1" applyFont="1" applyBorder="1" applyAlignment="1">
      <alignment/>
    </xf>
    <xf numFmtId="4" fontId="8" fillId="0" borderId="21" xfId="0" applyNumberFormat="1" applyFont="1" applyBorder="1" applyAlignment="1">
      <alignment wrapText="1"/>
    </xf>
    <xf numFmtId="4" fontId="12" fillId="0" borderId="10" xfId="0" applyNumberFormat="1" applyFont="1" applyBorder="1" applyAlignment="1">
      <alignment/>
    </xf>
    <xf numFmtId="4" fontId="12" fillId="0" borderId="21" xfId="0" applyNumberFormat="1" applyFont="1" applyBorder="1" applyAlignment="1">
      <alignment/>
    </xf>
    <xf numFmtId="4" fontId="11" fillId="0" borderId="10" xfId="0" applyNumberFormat="1" applyFont="1" applyBorder="1" applyAlignment="1">
      <alignment/>
    </xf>
    <xf numFmtId="4" fontId="11" fillId="0" borderId="21" xfId="0" applyNumberFormat="1" applyFont="1" applyBorder="1" applyAlignment="1">
      <alignment/>
    </xf>
    <xf numFmtId="3" fontId="0" fillId="0" borderId="0" xfId="0" applyNumberFormat="1" applyAlignment="1">
      <alignment/>
    </xf>
    <xf numFmtId="3" fontId="8" fillId="0" borderId="19" xfId="0" applyNumberFormat="1" applyFont="1" applyBorder="1" applyAlignment="1">
      <alignment/>
    </xf>
    <xf numFmtId="3" fontId="8" fillId="0" borderId="10" xfId="0" applyNumberFormat="1" applyFont="1" applyBorder="1" applyAlignment="1">
      <alignment wrapText="1"/>
    </xf>
    <xf numFmtId="3" fontId="8" fillId="0" borderId="10" xfId="0" applyNumberFormat="1" applyFont="1" applyBorder="1" applyAlignment="1">
      <alignment/>
    </xf>
    <xf numFmtId="4" fontId="11" fillId="0" borderId="13" xfId="0" applyNumberFormat="1" applyFont="1" applyBorder="1" applyAlignment="1">
      <alignment/>
    </xf>
    <xf numFmtId="4" fontId="11" fillId="0" borderId="22" xfId="0" applyNumberFormat="1" applyFont="1" applyBorder="1" applyAlignment="1">
      <alignment/>
    </xf>
    <xf numFmtId="3" fontId="4" fillId="0" borderId="19" xfId="0" applyNumberFormat="1" applyFont="1" applyBorder="1" applyAlignment="1">
      <alignment/>
    </xf>
    <xf numFmtId="3" fontId="4" fillId="0" borderId="18" xfId="0" applyNumberFormat="1" applyFont="1" applyBorder="1" applyAlignment="1">
      <alignment/>
    </xf>
    <xf numFmtId="0" fontId="14" fillId="0" borderId="0" xfId="0" applyFont="1" applyAlignment="1">
      <alignment/>
    </xf>
    <xf numFmtId="0" fontId="15" fillId="0" borderId="0" xfId="0" applyFont="1" applyAlignment="1">
      <alignment/>
    </xf>
    <xf numFmtId="0" fontId="16" fillId="34" borderId="0" xfId="0" applyFont="1" applyFill="1" applyAlignment="1">
      <alignment/>
    </xf>
    <xf numFmtId="3" fontId="12" fillId="35" borderId="10" xfId="0" applyNumberFormat="1" applyFont="1" applyFill="1" applyBorder="1" applyAlignment="1">
      <alignment/>
    </xf>
    <xf numFmtId="3" fontId="12" fillId="36" borderId="10" xfId="0" applyNumberFormat="1" applyFont="1" applyFill="1" applyBorder="1" applyAlignment="1">
      <alignment/>
    </xf>
    <xf numFmtId="0" fontId="12" fillId="37" borderId="10" xfId="0" applyFont="1" applyFill="1" applyBorder="1" applyAlignment="1">
      <alignment/>
    </xf>
    <xf numFmtId="3" fontId="12" fillId="37" borderId="10" xfId="0" applyNumberFormat="1" applyFont="1" applyFill="1" applyBorder="1" applyAlignment="1">
      <alignment/>
    </xf>
    <xf numFmtId="0" fontId="16" fillId="38" borderId="0" xfId="0" applyFont="1" applyFill="1" applyAlignment="1">
      <alignment/>
    </xf>
    <xf numFmtId="0" fontId="16" fillId="38" borderId="0" xfId="0" applyFont="1" applyFill="1" applyBorder="1" applyAlignment="1">
      <alignment/>
    </xf>
    <xf numFmtId="0" fontId="0" fillId="0" borderId="0" xfId="0" applyBorder="1" applyAlignment="1">
      <alignment/>
    </xf>
    <xf numFmtId="0" fontId="0" fillId="39" borderId="0" xfId="0" applyFill="1" applyAlignment="1">
      <alignment/>
    </xf>
    <xf numFmtId="0" fontId="0" fillId="39" borderId="0" xfId="0" applyFill="1" applyAlignment="1">
      <alignment horizontal="center" wrapText="1"/>
    </xf>
    <xf numFmtId="0" fontId="0" fillId="39" borderId="0" xfId="0" applyFill="1" applyAlignment="1">
      <alignment horizontal="left"/>
    </xf>
    <xf numFmtId="0" fontId="2" fillId="39" borderId="0" xfId="0" applyFont="1" applyFill="1" applyAlignment="1">
      <alignment/>
    </xf>
    <xf numFmtId="0" fontId="0" fillId="39" borderId="0" xfId="0" applyFill="1" applyBorder="1" applyAlignment="1">
      <alignment/>
    </xf>
    <xf numFmtId="0" fontId="8" fillId="39" borderId="0" xfId="0" applyFont="1" applyFill="1" applyAlignment="1">
      <alignment/>
    </xf>
    <xf numFmtId="0" fontId="10" fillId="39" borderId="0" xfId="0" applyFont="1" applyFill="1" applyAlignment="1">
      <alignment/>
    </xf>
    <xf numFmtId="0" fontId="12" fillId="39" borderId="0" xfId="0" applyFont="1" applyFill="1" applyAlignment="1">
      <alignment/>
    </xf>
    <xf numFmtId="3" fontId="0" fillId="39" borderId="0" xfId="0" applyNumberFormat="1" applyFill="1" applyAlignment="1">
      <alignment/>
    </xf>
    <xf numFmtId="4" fontId="0" fillId="39" borderId="0" xfId="0" applyNumberFormat="1" applyFill="1" applyAlignment="1">
      <alignment/>
    </xf>
    <xf numFmtId="0" fontId="3" fillId="39" borderId="0" xfId="0" applyFont="1" applyFill="1" applyAlignment="1">
      <alignment horizontal="left"/>
    </xf>
    <xf numFmtId="0" fontId="5" fillId="39" borderId="0" xfId="0" applyFont="1" applyFill="1" applyAlignment="1">
      <alignment horizontal="left"/>
    </xf>
    <xf numFmtId="3" fontId="0" fillId="39" borderId="0" xfId="0" applyNumberFormat="1" applyFill="1" applyAlignment="1">
      <alignment horizontal="left"/>
    </xf>
    <xf numFmtId="0" fontId="4" fillId="39" borderId="0" xfId="0" applyFont="1" applyFill="1" applyAlignment="1">
      <alignment/>
    </xf>
    <xf numFmtId="0" fontId="7" fillId="39" borderId="0" xfId="0" applyFont="1" applyFill="1" applyAlignment="1">
      <alignment horizontal="right"/>
    </xf>
    <xf numFmtId="0" fontId="7" fillId="39" borderId="0" xfId="0" applyFont="1" applyFill="1" applyAlignment="1">
      <alignment horizontal="left"/>
    </xf>
    <xf numFmtId="0" fontId="4" fillId="39" borderId="0" xfId="0" applyFont="1" applyFill="1" applyBorder="1" applyAlignment="1">
      <alignment/>
    </xf>
    <xf numFmtId="0" fontId="5" fillId="39" borderId="0" xfId="0" applyFont="1" applyFill="1" applyAlignment="1">
      <alignment/>
    </xf>
    <xf numFmtId="3" fontId="0" fillId="0" borderId="0" xfId="0" applyNumberFormat="1" applyBorder="1" applyAlignment="1">
      <alignment/>
    </xf>
    <xf numFmtId="0" fontId="15" fillId="0" borderId="0" xfId="0" applyFont="1" applyAlignment="1">
      <alignment horizontal="left" wrapText="1"/>
    </xf>
    <xf numFmtId="0" fontId="15" fillId="39" borderId="0" xfId="0" applyFont="1" applyFill="1" applyAlignment="1">
      <alignment horizontal="left" wrapText="1"/>
    </xf>
    <xf numFmtId="0" fontId="15" fillId="39" borderId="0" xfId="0" applyFont="1" applyFill="1" applyAlignment="1">
      <alignment wrapText="1"/>
    </xf>
    <xf numFmtId="0" fontId="15" fillId="39" borderId="0" xfId="0" applyFont="1" applyFill="1" applyAlignment="1">
      <alignment/>
    </xf>
    <xf numFmtId="0" fontId="89" fillId="38" borderId="0" xfId="0" applyFont="1" applyFill="1" applyAlignment="1">
      <alignment/>
    </xf>
    <xf numFmtId="0" fontId="15" fillId="39" borderId="10" xfId="0" applyFont="1" applyFill="1" applyBorder="1" applyAlignment="1">
      <alignment/>
    </xf>
    <xf numFmtId="3" fontId="0" fillId="39" borderId="0" xfId="0" applyNumberFormat="1" applyFill="1" applyBorder="1" applyAlignment="1">
      <alignment/>
    </xf>
    <xf numFmtId="11" fontId="0" fillId="39" borderId="0" xfId="0" applyNumberFormat="1" applyFill="1" applyBorder="1" applyAlignment="1">
      <alignment/>
    </xf>
    <xf numFmtId="0" fontId="0" fillId="39" borderId="0" xfId="0" applyFont="1" applyFill="1" applyBorder="1" applyAlignment="1">
      <alignment/>
    </xf>
    <xf numFmtId="0" fontId="0" fillId="0" borderId="0" xfId="0" applyFont="1" applyAlignment="1">
      <alignment/>
    </xf>
    <xf numFmtId="0" fontId="0" fillId="0" borderId="0" xfId="0" applyFill="1" applyAlignment="1">
      <alignment/>
    </xf>
    <xf numFmtId="0" fontId="0" fillId="0" borderId="0" xfId="0" applyFont="1" applyBorder="1" applyAlignment="1">
      <alignment/>
    </xf>
    <xf numFmtId="0" fontId="0" fillId="0" borderId="23" xfId="0" applyBorder="1" applyAlignment="1">
      <alignment/>
    </xf>
    <xf numFmtId="173" fontId="0" fillId="0" borderId="23" xfId="0" applyNumberFormat="1" applyBorder="1" applyAlignment="1">
      <alignment/>
    </xf>
    <xf numFmtId="0" fontId="0" fillId="11" borderId="23" xfId="0" applyFill="1" applyBorder="1" applyAlignment="1">
      <alignment/>
    </xf>
    <xf numFmtId="0" fontId="0" fillId="0" borderId="0" xfId="0" applyFont="1" applyFill="1" applyBorder="1" applyAlignment="1">
      <alignment/>
    </xf>
    <xf numFmtId="0" fontId="15" fillId="40" borderId="0" xfId="0" applyFont="1" applyFill="1" applyAlignment="1">
      <alignment/>
    </xf>
    <xf numFmtId="0" fontId="4" fillId="0" borderId="0" xfId="0" applyFont="1" applyBorder="1" applyAlignment="1">
      <alignment/>
    </xf>
    <xf numFmtId="0" fontId="0" fillId="0" borderId="0" xfId="0" applyFont="1" applyFill="1" applyBorder="1" applyAlignment="1">
      <alignment horizontal="right"/>
    </xf>
    <xf numFmtId="173" fontId="0" fillId="0" borderId="0" xfId="0" applyNumberFormat="1" applyFill="1" applyBorder="1" applyAlignment="1">
      <alignment/>
    </xf>
    <xf numFmtId="0" fontId="0" fillId="0" borderId="0" xfId="0" applyFill="1" applyBorder="1" applyAlignment="1">
      <alignment/>
    </xf>
    <xf numFmtId="0" fontId="4" fillId="0" borderId="10" xfId="0" applyFont="1" applyBorder="1" applyAlignment="1">
      <alignment/>
    </xf>
    <xf numFmtId="0" fontId="23" fillId="0" borderId="0" xfId="0" applyFont="1" applyAlignment="1">
      <alignment/>
    </xf>
    <xf numFmtId="0" fontId="15" fillId="36" borderId="0" xfId="0" applyFont="1" applyFill="1" applyAlignment="1">
      <alignment/>
    </xf>
    <xf numFmtId="0" fontId="0" fillId="39" borderId="0" xfId="0" applyFill="1" applyBorder="1" applyAlignment="1">
      <alignment horizontal="left"/>
    </xf>
    <xf numFmtId="0" fontId="15" fillId="40" borderId="24" xfId="0" applyFont="1" applyFill="1" applyBorder="1" applyAlignment="1">
      <alignment/>
    </xf>
    <xf numFmtId="11" fontId="15" fillId="40" borderId="24" xfId="0" applyNumberFormat="1" applyFont="1" applyFill="1" applyBorder="1" applyAlignment="1">
      <alignment/>
    </xf>
    <xf numFmtId="0" fontId="0" fillId="39" borderId="25" xfId="0" applyFill="1" applyBorder="1" applyAlignment="1">
      <alignment/>
    </xf>
    <xf numFmtId="0" fontId="0" fillId="39" borderId="26" xfId="0" applyFill="1" applyBorder="1" applyAlignment="1">
      <alignment/>
    </xf>
    <xf numFmtId="0" fontId="0" fillId="39" borderId="27" xfId="0" applyFill="1" applyBorder="1" applyAlignment="1">
      <alignment/>
    </xf>
    <xf numFmtId="0" fontId="0" fillId="39" borderId="28" xfId="0" applyFill="1" applyBorder="1" applyAlignment="1">
      <alignment/>
    </xf>
    <xf numFmtId="0" fontId="4" fillId="0" borderId="27" xfId="0" applyFont="1" applyBorder="1" applyAlignment="1">
      <alignment/>
    </xf>
    <xf numFmtId="0" fontId="5" fillId="0" borderId="27" xfId="0" applyFont="1" applyBorder="1" applyAlignment="1">
      <alignment/>
    </xf>
    <xf numFmtId="0" fontId="19" fillId="38" borderId="29" xfId="0" applyFont="1" applyFill="1" applyBorder="1" applyAlignment="1">
      <alignment/>
    </xf>
    <xf numFmtId="0" fontId="0" fillId="39" borderId="30" xfId="0" applyFill="1" applyBorder="1" applyAlignment="1">
      <alignment/>
    </xf>
    <xf numFmtId="0" fontId="0" fillId="39" borderId="31" xfId="0" applyFill="1" applyBorder="1" applyAlignment="1">
      <alignment/>
    </xf>
    <xf numFmtId="0" fontId="4" fillId="39" borderId="32" xfId="0" applyFont="1" applyFill="1" applyBorder="1" applyAlignment="1">
      <alignment horizontal="left"/>
    </xf>
    <xf numFmtId="0" fontId="0" fillId="39" borderId="33" xfId="0" applyFill="1" applyBorder="1" applyAlignment="1">
      <alignment/>
    </xf>
    <xf numFmtId="0" fontId="0" fillId="39" borderId="32" xfId="0" applyFill="1" applyBorder="1" applyAlignment="1">
      <alignment horizontal="left"/>
    </xf>
    <xf numFmtId="0" fontId="0" fillId="0" borderId="32" xfId="0" applyBorder="1" applyAlignment="1">
      <alignment horizontal="left"/>
    </xf>
    <xf numFmtId="0" fontId="0" fillId="39" borderId="32" xfId="0" applyFill="1" applyBorder="1" applyAlignment="1">
      <alignment/>
    </xf>
    <xf numFmtId="1" fontId="0" fillId="39" borderId="0" xfId="0" applyNumberFormat="1" applyFill="1" applyAlignment="1">
      <alignment/>
    </xf>
    <xf numFmtId="1" fontId="8" fillId="0" borderId="19" xfId="0" applyNumberFormat="1" applyFont="1" applyBorder="1" applyAlignment="1">
      <alignment/>
    </xf>
    <xf numFmtId="1" fontId="12" fillId="36" borderId="10" xfId="0" applyNumberFormat="1" applyFont="1" applyFill="1" applyBorder="1" applyAlignment="1">
      <alignment/>
    </xf>
    <xf numFmtId="1" fontId="8" fillId="0" borderId="13" xfId="0" applyNumberFormat="1" applyFont="1" applyBorder="1" applyAlignment="1">
      <alignment/>
    </xf>
    <xf numFmtId="1" fontId="0" fillId="0" borderId="0" xfId="0" applyNumberFormat="1" applyAlignment="1">
      <alignment/>
    </xf>
    <xf numFmtId="173" fontId="0" fillId="16" borderId="23" xfId="0" applyNumberFormat="1" applyFont="1" applyFill="1" applyBorder="1" applyAlignment="1">
      <alignment horizontal="right"/>
    </xf>
    <xf numFmtId="0" fontId="0" fillId="39" borderId="0" xfId="0" applyFill="1" applyBorder="1" applyAlignment="1">
      <alignment horizontal="center"/>
    </xf>
    <xf numFmtId="172" fontId="0" fillId="41" borderId="0" xfId="0" applyNumberFormat="1" applyFill="1" applyBorder="1" applyAlignment="1">
      <alignment horizontal="center" vertical="center"/>
    </xf>
    <xf numFmtId="173" fontId="0" fillId="0" borderId="23" xfId="0" applyNumberFormat="1" applyFont="1" applyFill="1" applyBorder="1" applyAlignment="1">
      <alignment horizontal="right"/>
    </xf>
    <xf numFmtId="173" fontId="0" fillId="11" borderId="23" xfId="0" applyNumberFormat="1" applyFont="1" applyFill="1" applyBorder="1" applyAlignment="1">
      <alignment horizontal="right"/>
    </xf>
    <xf numFmtId="0" fontId="0" fillId="0" borderId="0" xfId="0" applyFont="1" applyAlignment="1">
      <alignment horizontal="center" vertical="center"/>
    </xf>
    <xf numFmtId="0" fontId="0" fillId="0" borderId="0" xfId="0" applyAlignment="1">
      <alignment horizontal="center" vertical="center"/>
    </xf>
    <xf numFmtId="0" fontId="4" fillId="0" borderId="23" xfId="0" applyFont="1" applyBorder="1" applyAlignment="1">
      <alignment horizontal="center" vertical="center"/>
    </xf>
    <xf numFmtId="0" fontId="0" fillId="0" borderId="23" xfId="0" applyFont="1" applyBorder="1" applyAlignment="1">
      <alignment horizontal="center" vertical="center"/>
    </xf>
    <xf numFmtId="0" fontId="4" fillId="0" borderId="23" xfId="0" applyFont="1" applyBorder="1" applyAlignment="1">
      <alignment vertical="center"/>
    </xf>
    <xf numFmtId="0" fontId="0" fillId="0" borderId="23" xfId="0" applyFont="1" applyBorder="1" applyAlignment="1">
      <alignment vertical="center"/>
    </xf>
    <xf numFmtId="0" fontId="0" fillId="0" borderId="10" xfId="0" applyFont="1" applyBorder="1" applyAlignment="1">
      <alignment horizontal="center" vertical="center"/>
    </xf>
    <xf numFmtId="173" fontId="0" fillId="0" borderId="10" xfId="0" applyNumberFormat="1" applyFont="1" applyFill="1" applyBorder="1" applyAlignment="1">
      <alignment horizontal="center" vertical="center"/>
    </xf>
    <xf numFmtId="173" fontId="0" fillId="0" borderId="10" xfId="0" applyNumberFormat="1" applyBorder="1" applyAlignment="1">
      <alignment horizontal="center" vertical="center"/>
    </xf>
    <xf numFmtId="0" fontId="0" fillId="0" borderId="10" xfId="0" applyFont="1" applyBorder="1" applyAlignment="1">
      <alignment horizontal="left" vertical="center"/>
    </xf>
    <xf numFmtId="174" fontId="15" fillId="36" borderId="0" xfId="0" applyNumberFormat="1" applyFont="1" applyFill="1" applyAlignment="1">
      <alignment/>
    </xf>
    <xf numFmtId="0" fontId="0" fillId="40" borderId="0" xfId="0" applyFill="1" applyAlignment="1">
      <alignment/>
    </xf>
    <xf numFmtId="0" fontId="0" fillId="40" borderId="24" xfId="0" applyFill="1" applyBorder="1" applyAlignment="1">
      <alignment/>
    </xf>
    <xf numFmtId="0" fontId="15" fillId="16" borderId="0" xfId="0" applyFont="1" applyFill="1" applyAlignment="1">
      <alignment/>
    </xf>
    <xf numFmtId="0" fontId="0" fillId="0" borderId="0" xfId="0" applyAlignment="1">
      <alignment horizontal="left" wrapText="1"/>
    </xf>
    <xf numFmtId="174" fontId="15" fillId="16" borderId="0" xfId="0" applyNumberFormat="1" applyFont="1" applyFill="1" applyAlignment="1">
      <alignment/>
    </xf>
    <xf numFmtId="3" fontId="0" fillId="39" borderId="0" xfId="0" applyNumberFormat="1" applyFont="1" applyFill="1" applyAlignment="1">
      <alignment/>
    </xf>
    <xf numFmtId="0" fontId="0" fillId="0" borderId="10" xfId="0" applyFont="1" applyBorder="1" applyAlignment="1">
      <alignment/>
    </xf>
    <xf numFmtId="173" fontId="15" fillId="36" borderId="0" xfId="0" applyNumberFormat="1" applyFont="1" applyFill="1" applyAlignment="1">
      <alignment/>
    </xf>
    <xf numFmtId="0" fontId="0" fillId="0" borderId="11" xfId="0" applyFont="1" applyBorder="1" applyAlignment="1">
      <alignment/>
    </xf>
    <xf numFmtId="3" fontId="8" fillId="0" borderId="34" xfId="0" applyNumberFormat="1" applyFont="1" applyBorder="1" applyAlignment="1">
      <alignment/>
    </xf>
    <xf numFmtId="3" fontId="8" fillId="39" borderId="35" xfId="0" applyNumberFormat="1" applyFont="1" applyFill="1" applyBorder="1" applyAlignment="1">
      <alignment/>
    </xf>
    <xf numFmtId="0" fontId="8" fillId="0" borderId="34" xfId="0" applyFont="1" applyBorder="1" applyAlignment="1">
      <alignment/>
    </xf>
    <xf numFmtId="0" fontId="8" fillId="39" borderId="35" xfId="0" applyFont="1" applyFill="1" applyBorder="1" applyAlignment="1">
      <alignment/>
    </xf>
    <xf numFmtId="0" fontId="90" fillId="0" borderId="0" xfId="0" applyFont="1" applyAlignment="1">
      <alignment/>
    </xf>
    <xf numFmtId="0" fontId="90" fillId="39" borderId="0" xfId="0" applyFont="1" applyFill="1" applyAlignment="1">
      <alignment/>
    </xf>
    <xf numFmtId="0" fontId="90" fillId="39" borderId="0" xfId="0" applyFont="1" applyFill="1" applyBorder="1" applyAlignment="1">
      <alignment/>
    </xf>
    <xf numFmtId="0" fontId="90" fillId="39" borderId="0" xfId="0" applyFont="1" applyFill="1" applyBorder="1" applyAlignment="1">
      <alignment vertical="center"/>
    </xf>
    <xf numFmtId="0" fontId="15" fillId="42" borderId="0" xfId="0" applyFont="1" applyFill="1" applyAlignment="1">
      <alignment/>
    </xf>
    <xf numFmtId="0" fontId="24" fillId="39" borderId="0" xfId="0" applyFont="1" applyFill="1" applyBorder="1" applyAlignment="1">
      <alignment/>
    </xf>
    <xf numFmtId="0" fontId="60" fillId="39" borderId="0" xfId="0" applyFont="1" applyFill="1" applyBorder="1" applyAlignment="1">
      <alignment/>
    </xf>
    <xf numFmtId="0" fontId="91" fillId="39" borderId="0" xfId="0" applyFont="1" applyFill="1" applyBorder="1" applyAlignment="1">
      <alignment/>
    </xf>
    <xf numFmtId="0" fontId="36" fillId="39" borderId="0" xfId="0" applyFont="1" applyFill="1" applyBorder="1" applyAlignment="1">
      <alignment/>
    </xf>
    <xf numFmtId="1" fontId="0" fillId="39" borderId="0" xfId="0" applyNumberFormat="1" applyFill="1" applyBorder="1" applyAlignment="1">
      <alignment/>
    </xf>
    <xf numFmtId="0" fontId="0" fillId="39" borderId="36" xfId="0" applyFill="1" applyBorder="1" applyAlignment="1">
      <alignment/>
    </xf>
    <xf numFmtId="0" fontId="0" fillId="39" borderId="37" xfId="0" applyFill="1" applyBorder="1" applyAlignment="1">
      <alignment/>
    </xf>
    <xf numFmtId="0" fontId="0" fillId="39" borderId="38" xfId="0" applyFill="1" applyBorder="1" applyAlignment="1">
      <alignment/>
    </xf>
    <xf numFmtId="0" fontId="0" fillId="39" borderId="39" xfId="0" applyFill="1" applyBorder="1" applyAlignment="1">
      <alignment/>
    </xf>
    <xf numFmtId="0" fontId="0" fillId="39" borderId="40" xfId="0" applyFill="1" applyBorder="1" applyAlignment="1">
      <alignment/>
    </xf>
    <xf numFmtId="0" fontId="0" fillId="39" borderId="41" xfId="0" applyFill="1" applyBorder="1" applyAlignment="1">
      <alignment/>
    </xf>
    <xf numFmtId="173" fontId="15" fillId="40" borderId="24" xfId="0" applyNumberFormat="1" applyFont="1" applyFill="1" applyBorder="1" applyAlignment="1">
      <alignment/>
    </xf>
    <xf numFmtId="176" fontId="0" fillId="0" borderId="0" xfId="0" applyNumberFormat="1" applyAlignment="1">
      <alignment/>
    </xf>
    <xf numFmtId="10" fontId="0" fillId="37" borderId="10" xfId="0" applyNumberFormat="1" applyFill="1" applyBorder="1" applyAlignment="1">
      <alignment horizontal="center"/>
    </xf>
    <xf numFmtId="10" fontId="4" fillId="0" borderId="21" xfId="0" applyNumberFormat="1" applyFont="1" applyBorder="1" applyAlignment="1">
      <alignment horizontal="center"/>
    </xf>
    <xf numFmtId="0" fontId="4" fillId="0" borderId="13" xfId="0" applyFont="1" applyBorder="1" applyAlignment="1">
      <alignment horizontal="center"/>
    </xf>
    <xf numFmtId="10" fontId="4" fillId="0" borderId="22" xfId="0" applyNumberFormat="1" applyFont="1" applyBorder="1" applyAlignment="1">
      <alignment horizontal="center"/>
    </xf>
    <xf numFmtId="0" fontId="0" fillId="37" borderId="10" xfId="0" applyFill="1" applyBorder="1" applyAlignment="1">
      <alignment horizontal="center"/>
    </xf>
    <xf numFmtId="0" fontId="0" fillId="37" borderId="21" xfId="0" applyFill="1" applyBorder="1" applyAlignment="1">
      <alignment horizontal="center"/>
    </xf>
    <xf numFmtId="0" fontId="0" fillId="37" borderId="13" xfId="0" applyFill="1" applyBorder="1" applyAlignment="1">
      <alignment horizontal="center"/>
    </xf>
    <xf numFmtId="0" fontId="0" fillId="37" borderId="22" xfId="0" applyFill="1" applyBorder="1" applyAlignment="1">
      <alignment horizontal="center"/>
    </xf>
    <xf numFmtId="0" fontId="0" fillId="0" borderId="12" xfId="0" applyFont="1" applyBorder="1" applyAlignment="1">
      <alignment/>
    </xf>
    <xf numFmtId="0" fontId="0" fillId="39" borderId="0" xfId="0" applyFont="1" applyFill="1" applyAlignment="1">
      <alignment/>
    </xf>
    <xf numFmtId="3" fontId="5" fillId="43" borderId="0" xfId="0" applyNumberFormat="1" applyFont="1" applyFill="1" applyAlignment="1">
      <alignment horizontal="left" wrapText="1"/>
    </xf>
    <xf numFmtId="0" fontId="0" fillId="0" borderId="0" xfId="0" applyAlignment="1">
      <alignment/>
    </xf>
    <xf numFmtId="3" fontId="4" fillId="0" borderId="19" xfId="0" applyNumberFormat="1" applyFont="1" applyBorder="1" applyAlignment="1">
      <alignment horizontal="center" vertical="center"/>
    </xf>
    <xf numFmtId="3" fontId="4" fillId="0" borderId="18" xfId="0" applyNumberFormat="1" applyFont="1" applyBorder="1" applyAlignment="1">
      <alignment horizontal="center" vertical="center"/>
    </xf>
    <xf numFmtId="11" fontId="0" fillId="0" borderId="0" xfId="0" applyNumberFormat="1" applyAlignment="1">
      <alignment horizontal="center" vertical="center"/>
    </xf>
    <xf numFmtId="2" fontId="0" fillId="0" borderId="0" xfId="0" applyNumberFormat="1" applyAlignment="1">
      <alignment horizontal="center" vertical="center"/>
    </xf>
    <xf numFmtId="2" fontId="0" fillId="0" borderId="0" xfId="0" applyNumberFormat="1" applyFont="1" applyAlignment="1">
      <alignment horizontal="center" vertical="center"/>
    </xf>
    <xf numFmtId="2" fontId="0" fillId="8" borderId="0" xfId="0" applyNumberFormat="1" applyFont="1" applyFill="1" applyAlignment="1">
      <alignment horizontal="center" vertical="center"/>
    </xf>
    <xf numFmtId="2" fontId="0" fillId="8" borderId="0" xfId="0" applyNumberFormat="1" applyFill="1" applyAlignment="1">
      <alignment horizontal="center" vertical="center"/>
    </xf>
    <xf numFmtId="0" fontId="4" fillId="0" borderId="0" xfId="0" applyFont="1" applyFill="1" applyAlignment="1">
      <alignment horizontal="center" vertical="center"/>
    </xf>
    <xf numFmtId="3" fontId="4" fillId="0" borderId="13" xfId="0" applyNumberFormat="1" applyFont="1" applyBorder="1" applyAlignment="1">
      <alignment horizontal="center" vertical="center"/>
    </xf>
    <xf numFmtId="3" fontId="0" fillId="36" borderId="21" xfId="0" applyNumberFormat="1" applyFill="1" applyBorder="1" applyAlignment="1">
      <alignment horizontal="center" vertical="center"/>
    </xf>
    <xf numFmtId="3" fontId="0" fillId="36" borderId="42" xfId="0" applyNumberFormat="1" applyFill="1" applyBorder="1" applyAlignment="1">
      <alignment horizontal="center" vertical="center"/>
    </xf>
    <xf numFmtId="0" fontId="4" fillId="0" borderId="43" xfId="0" applyFont="1" applyBorder="1" applyAlignment="1">
      <alignment horizontal="center" vertical="center"/>
    </xf>
    <xf numFmtId="0" fontId="81" fillId="0" borderId="0" xfId="53" applyAlignment="1" applyProtection="1">
      <alignment horizontal="left"/>
      <protection/>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3" fontId="0" fillId="36" borderId="10" xfId="0" applyNumberFormat="1" applyFill="1" applyBorder="1" applyAlignment="1">
      <alignment horizontal="center" vertical="center"/>
    </xf>
    <xf numFmtId="3" fontId="0" fillId="36" borderId="10" xfId="0" applyNumberFormat="1" applyFont="1" applyFill="1" applyBorder="1" applyAlignment="1">
      <alignment horizontal="center" vertical="center"/>
    </xf>
    <xf numFmtId="3" fontId="0" fillId="36" borderId="44" xfId="0" applyNumberFormat="1" applyFont="1" applyFill="1" applyBorder="1" applyAlignment="1">
      <alignment horizontal="center" vertical="center"/>
    </xf>
    <xf numFmtId="3" fontId="12" fillId="36" borderId="10" xfId="0" applyNumberFormat="1" applyFont="1" applyFill="1" applyBorder="1" applyAlignment="1">
      <alignment horizontal="center" vertical="center"/>
    </xf>
    <xf numFmtId="3" fontId="8" fillId="0" borderId="19" xfId="0" applyNumberFormat="1" applyFont="1" applyBorder="1" applyAlignment="1">
      <alignment wrapText="1"/>
    </xf>
    <xf numFmtId="0" fontId="0" fillId="0" borderId="10" xfId="0" applyBorder="1" applyAlignment="1">
      <alignment horizontal="center" vertical="center"/>
    </xf>
    <xf numFmtId="3" fontId="0" fillId="33" borderId="10" xfId="0" applyNumberFormat="1" applyFill="1" applyBorder="1" applyAlignment="1">
      <alignment horizontal="center" vertical="center"/>
    </xf>
    <xf numFmtId="0" fontId="4" fillId="0" borderId="13" xfId="0" applyFont="1" applyBorder="1" applyAlignment="1">
      <alignment horizontal="center" vertical="center"/>
    </xf>
    <xf numFmtId="0" fontId="3" fillId="39" borderId="0" xfId="0" applyFont="1" applyFill="1" applyBorder="1" applyAlignment="1">
      <alignment horizontal="left"/>
    </xf>
    <xf numFmtId="4" fontId="5" fillId="39" borderId="0" xfId="0" applyNumberFormat="1" applyFont="1" applyFill="1" applyBorder="1" applyAlignment="1">
      <alignment horizontal="left"/>
    </xf>
    <xf numFmtId="0" fontId="16" fillId="38" borderId="0" xfId="0" applyFont="1" applyFill="1" applyBorder="1" applyAlignment="1">
      <alignment/>
    </xf>
    <xf numFmtId="3" fontId="12" fillId="36" borderId="10" xfId="0" applyNumberFormat="1" applyFont="1" applyFill="1" applyBorder="1" applyAlignment="1" applyProtection="1">
      <alignment horizontal="center" vertical="center"/>
      <protection/>
    </xf>
    <xf numFmtId="3" fontId="4" fillId="0" borderId="22" xfId="0" applyNumberFormat="1" applyFont="1" applyFill="1" applyBorder="1" applyAlignment="1">
      <alignment horizontal="center" vertical="center"/>
    </xf>
    <xf numFmtId="0" fontId="4" fillId="0" borderId="19" xfId="0" applyFont="1" applyBorder="1" applyAlignment="1">
      <alignment horizontal="center" vertical="center"/>
    </xf>
    <xf numFmtId="3" fontId="8" fillId="0" borderId="19" xfId="0" applyNumberFormat="1" applyFont="1" applyBorder="1" applyAlignment="1">
      <alignment horizontal="center" vertical="center" wrapText="1"/>
    </xf>
    <xf numFmtId="0" fontId="23" fillId="0" borderId="12" xfId="0" applyFont="1" applyBorder="1" applyAlignment="1">
      <alignment/>
    </xf>
    <xf numFmtId="0" fontId="16" fillId="39" borderId="0" xfId="0" applyFont="1" applyFill="1" applyBorder="1" applyAlignment="1">
      <alignment/>
    </xf>
    <xf numFmtId="0" fontId="92" fillId="38" borderId="0" xfId="0" applyFont="1" applyFill="1" applyBorder="1" applyAlignment="1">
      <alignment vertical="center"/>
    </xf>
    <xf numFmtId="0" fontId="0" fillId="39" borderId="0" xfId="0" applyFill="1" applyAlignment="1">
      <alignment/>
    </xf>
    <xf numFmtId="0" fontId="0" fillId="0" borderId="20" xfId="0" applyFont="1" applyBorder="1" applyAlignment="1">
      <alignment/>
    </xf>
    <xf numFmtId="0" fontId="4" fillId="0" borderId="45" xfId="0" applyFont="1" applyBorder="1" applyAlignment="1">
      <alignment/>
    </xf>
    <xf numFmtId="1" fontId="0" fillId="36" borderId="46" xfId="0" applyNumberFormat="1" applyFont="1" applyFill="1" applyBorder="1" applyAlignment="1">
      <alignment horizontal="center" vertical="center"/>
    </xf>
    <xf numFmtId="0" fontId="4" fillId="0" borderId="34" xfId="0" applyFont="1" applyFill="1" applyBorder="1" applyAlignment="1">
      <alignment horizontal="center" vertical="center" wrapText="1"/>
    </xf>
    <xf numFmtId="1" fontId="0" fillId="33" borderId="47"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3" fontId="8" fillId="0" borderId="18" xfId="0" applyNumberFormat="1" applyFont="1" applyBorder="1" applyAlignment="1">
      <alignment horizontal="center" vertical="center" wrapText="1"/>
    </xf>
    <xf numFmtId="3" fontId="0" fillId="36" borderId="48" xfId="0" applyNumberFormat="1" applyFont="1" applyFill="1" applyBorder="1" applyAlignment="1">
      <alignment horizontal="center" vertical="center"/>
    </xf>
    <xf numFmtId="3" fontId="4" fillId="36" borderId="49" xfId="0" applyNumberFormat="1" applyFont="1" applyFill="1" applyBorder="1" applyAlignment="1">
      <alignment horizontal="center" vertical="center"/>
    </xf>
    <xf numFmtId="3" fontId="4" fillId="36" borderId="13" xfId="0" applyNumberFormat="1" applyFont="1" applyFill="1" applyBorder="1" applyAlignment="1">
      <alignment horizontal="center" vertical="center"/>
    </xf>
    <xf numFmtId="3" fontId="4" fillId="36" borderId="50" xfId="0" applyNumberFormat="1" applyFont="1" applyFill="1" applyBorder="1" applyAlignment="1">
      <alignment horizontal="center" vertical="center"/>
    </xf>
    <xf numFmtId="0" fontId="0" fillId="0" borderId="0" xfId="0" applyBorder="1" applyAlignment="1">
      <alignment horizontal="center"/>
    </xf>
    <xf numFmtId="4" fontId="5" fillId="35" borderId="0" xfId="0" applyNumberFormat="1" applyFont="1" applyFill="1" applyBorder="1" applyAlignment="1">
      <alignment horizontal="center" vertical="center"/>
    </xf>
    <xf numFmtId="3" fontId="3" fillId="39" borderId="0" xfId="0" applyNumberFormat="1" applyFont="1" applyFill="1" applyBorder="1" applyAlignment="1">
      <alignment/>
    </xf>
    <xf numFmtId="0" fontId="0" fillId="39" borderId="10" xfId="0" applyFont="1" applyFill="1" applyBorder="1" applyAlignment="1">
      <alignment horizontal="center" vertical="center" wrapText="1"/>
    </xf>
    <xf numFmtId="0" fontId="0" fillId="39" borderId="49" xfId="0" applyFont="1" applyFill="1" applyBorder="1" applyAlignment="1">
      <alignment horizontal="center" vertical="center" wrapText="1"/>
    </xf>
    <xf numFmtId="0" fontId="0" fillId="39" borderId="0" xfId="0" applyFill="1" applyBorder="1" applyAlignment="1">
      <alignment horizontal="center" vertical="center"/>
    </xf>
    <xf numFmtId="9" fontId="0" fillId="42" borderId="10" xfId="0" applyNumberFormat="1" applyFont="1" applyFill="1" applyBorder="1" applyAlignment="1">
      <alignment horizontal="center" vertical="center"/>
    </xf>
    <xf numFmtId="2" fontId="0" fillId="36" borderId="10" xfId="0" applyNumberFormat="1" applyFont="1" applyFill="1" applyBorder="1" applyAlignment="1">
      <alignment horizontal="center" vertical="center"/>
    </xf>
    <xf numFmtId="4" fontId="0" fillId="36" borderId="0" xfId="0" applyNumberFormat="1" applyFill="1" applyBorder="1" applyAlignment="1">
      <alignment horizontal="center"/>
    </xf>
    <xf numFmtId="2" fontId="4" fillId="36" borderId="10" xfId="0" applyNumberFormat="1" applyFont="1" applyFill="1" applyBorder="1" applyAlignment="1">
      <alignment horizontal="center" vertical="center"/>
    </xf>
    <xf numFmtId="9" fontId="12" fillId="33" borderId="10" xfId="0" applyNumberFormat="1" applyFont="1" applyFill="1" applyBorder="1" applyAlignment="1">
      <alignment horizontal="center" vertical="center"/>
    </xf>
    <xf numFmtId="1" fontId="0" fillId="42" borderId="10" xfId="0" applyNumberFormat="1" applyFont="1" applyFill="1" applyBorder="1" applyAlignment="1">
      <alignment horizontal="center" vertical="center"/>
    </xf>
    <xf numFmtId="1" fontId="12" fillId="33" borderId="10" xfId="0" applyNumberFormat="1" applyFont="1" applyFill="1" applyBorder="1" applyAlignment="1">
      <alignment horizontal="center" vertical="center"/>
    </xf>
    <xf numFmtId="181" fontId="12" fillId="33" borderId="10" xfId="0" applyNumberFormat="1" applyFont="1" applyFill="1" applyBorder="1" applyAlignment="1">
      <alignment horizontal="center" vertical="center"/>
    </xf>
    <xf numFmtId="2" fontId="12" fillId="39" borderId="51" xfId="0" applyNumberFormat="1" applyFont="1" applyFill="1" applyBorder="1" applyAlignment="1">
      <alignment horizontal="center" vertical="center"/>
    </xf>
    <xf numFmtId="2" fontId="12" fillId="39" borderId="52" xfId="0" applyNumberFormat="1" applyFont="1" applyFill="1" applyBorder="1" applyAlignment="1">
      <alignment horizontal="center" vertical="center"/>
    </xf>
    <xf numFmtId="181" fontId="0" fillId="42" borderId="49" xfId="0" applyNumberFormat="1" applyFont="1" applyFill="1" applyBorder="1" applyAlignment="1">
      <alignment horizontal="center" vertical="center"/>
    </xf>
    <xf numFmtId="2" fontId="90" fillId="39" borderId="0" xfId="0" applyNumberFormat="1" applyFont="1" applyFill="1" applyAlignment="1">
      <alignment/>
    </xf>
    <xf numFmtId="1" fontId="90" fillId="39" borderId="0" xfId="0" applyNumberFormat="1" applyFont="1" applyFill="1" applyAlignment="1">
      <alignment/>
    </xf>
    <xf numFmtId="1" fontId="0" fillId="36" borderId="53" xfId="0" applyNumberFormat="1" applyFont="1" applyFill="1" applyBorder="1" applyAlignment="1">
      <alignment horizontal="center" vertical="center"/>
    </xf>
    <xf numFmtId="3" fontId="0" fillId="33" borderId="49" xfId="0" applyNumberFormat="1" applyFill="1" applyBorder="1" applyAlignment="1">
      <alignment horizontal="center" vertical="center"/>
    </xf>
    <xf numFmtId="3" fontId="0" fillId="33" borderId="54" xfId="0" applyNumberFormat="1" applyFill="1" applyBorder="1" applyAlignment="1">
      <alignment horizontal="center" vertical="center"/>
    </xf>
    <xf numFmtId="0" fontId="15" fillId="33" borderId="10" xfId="0" applyFont="1" applyFill="1" applyBorder="1" applyAlignment="1">
      <alignment horizontal="center" vertical="center"/>
    </xf>
    <xf numFmtId="3" fontId="8" fillId="33" borderId="10" xfId="0" applyNumberFormat="1" applyFont="1" applyFill="1" applyBorder="1" applyAlignment="1">
      <alignment horizontal="center" vertical="center"/>
    </xf>
    <xf numFmtId="2" fontId="0" fillId="33" borderId="0" xfId="0" applyNumberFormat="1" applyFill="1" applyBorder="1" applyAlignment="1">
      <alignment horizontal="center"/>
    </xf>
    <xf numFmtId="3" fontId="0" fillId="33" borderId="0" xfId="0" applyNumberFormat="1" applyFill="1" applyBorder="1" applyAlignment="1">
      <alignment horizontal="center" vertical="center"/>
    </xf>
    <xf numFmtId="0" fontId="0" fillId="0" borderId="0" xfId="0" applyBorder="1" applyAlignment="1">
      <alignment horizontal="center" vertical="center"/>
    </xf>
    <xf numFmtId="3" fontId="0" fillId="36" borderId="0" xfId="0" applyNumberFormat="1" applyFill="1" applyBorder="1" applyAlignment="1">
      <alignment horizontal="center" vertical="center"/>
    </xf>
    <xf numFmtId="172" fontId="93" fillId="39" borderId="0" xfId="0" applyNumberFormat="1" applyFont="1" applyFill="1" applyBorder="1" applyAlignment="1">
      <alignment horizontal="center" vertical="center"/>
    </xf>
    <xf numFmtId="172" fontId="93" fillId="39" borderId="0" xfId="0" applyNumberFormat="1" applyFont="1" applyFill="1" applyBorder="1" applyAlignment="1">
      <alignment horizontal="center"/>
    </xf>
    <xf numFmtId="0" fontId="15" fillId="39" borderId="0" xfId="0" applyFont="1" applyFill="1" applyAlignment="1">
      <alignment vertical="center" wrapText="1"/>
    </xf>
    <xf numFmtId="3" fontId="4" fillId="0" borderId="46" xfId="0" applyNumberFormat="1" applyFont="1" applyBorder="1" applyAlignment="1">
      <alignment horizontal="center" vertical="center"/>
    </xf>
    <xf numFmtId="3" fontId="4" fillId="36" borderId="46" xfId="0" applyNumberFormat="1" applyFont="1" applyFill="1" applyBorder="1" applyAlignment="1">
      <alignment horizontal="center" vertical="center"/>
    </xf>
    <xf numFmtId="3" fontId="4" fillId="36" borderId="48" xfId="0" applyNumberFormat="1" applyFont="1" applyFill="1" applyBorder="1" applyAlignment="1">
      <alignment horizontal="center" vertical="center"/>
    </xf>
    <xf numFmtId="4" fontId="5" fillId="39" borderId="0" xfId="0" applyNumberFormat="1" applyFont="1" applyFill="1" applyBorder="1" applyAlignment="1">
      <alignment horizontal="center"/>
    </xf>
    <xf numFmtId="0" fontId="0" fillId="0" borderId="14"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45" xfId="0" applyBorder="1" applyAlignment="1">
      <alignment vertical="center"/>
    </xf>
    <xf numFmtId="0" fontId="0" fillId="0" borderId="55" xfId="0" applyBorder="1" applyAlignment="1">
      <alignment horizontal="center" vertical="center"/>
    </xf>
    <xf numFmtId="0" fontId="0" fillId="0" borderId="10" xfId="0" applyBorder="1" applyAlignment="1">
      <alignment vertical="center"/>
    </xf>
    <xf numFmtId="0" fontId="0" fillId="42" borderId="21" xfId="0" applyFill="1" applyBorder="1" applyAlignment="1">
      <alignment horizontal="center" vertical="center"/>
    </xf>
    <xf numFmtId="183" fontId="0" fillId="42" borderId="19" xfId="0" applyNumberFormat="1" applyFill="1" applyBorder="1" applyAlignment="1">
      <alignment horizontal="center" vertical="center"/>
    </xf>
    <xf numFmtId="183" fontId="0" fillId="42" borderId="10" xfId="0" applyNumberFormat="1" applyFill="1" applyBorder="1" applyAlignment="1">
      <alignment horizontal="center" vertical="center"/>
    </xf>
    <xf numFmtId="183" fontId="0" fillId="42" borderId="44" xfId="0" applyNumberFormat="1" applyFill="1" applyBorder="1" applyAlignment="1">
      <alignment horizontal="center" vertical="center"/>
    </xf>
    <xf numFmtId="0" fontId="0" fillId="36" borderId="18" xfId="0" applyFill="1" applyBorder="1" applyAlignment="1">
      <alignment horizontal="center" vertical="center"/>
    </xf>
    <xf numFmtId="3" fontId="0" fillId="36" borderId="19" xfId="0" applyNumberFormat="1" applyFill="1" applyBorder="1" applyAlignment="1">
      <alignment horizontal="center" vertical="center"/>
    </xf>
    <xf numFmtId="3" fontId="0" fillId="36" borderId="10" xfId="0" applyNumberFormat="1" applyFill="1" applyBorder="1" applyAlignment="1">
      <alignment horizontal="center" vertical="center"/>
    </xf>
    <xf numFmtId="3" fontId="0" fillId="36" borderId="44" xfId="0" applyNumberFormat="1" applyFill="1" applyBorder="1" applyAlignment="1">
      <alignment horizontal="center" vertical="center"/>
    </xf>
    <xf numFmtId="3" fontId="0" fillId="36" borderId="56" xfId="0" applyNumberFormat="1" applyFill="1" applyBorder="1" applyAlignment="1">
      <alignment horizontal="center" vertical="center"/>
    </xf>
    <xf numFmtId="3" fontId="0" fillId="36" borderId="48" xfId="0" applyNumberFormat="1" applyFill="1" applyBorder="1" applyAlignment="1">
      <alignment horizontal="center" vertical="center"/>
    </xf>
    <xf numFmtId="0" fontId="0" fillId="36" borderId="10" xfId="0" applyFill="1" applyBorder="1" applyAlignment="1">
      <alignment horizontal="center"/>
    </xf>
    <xf numFmtId="3" fontId="0" fillId="36" borderId="10" xfId="0" applyNumberFormat="1" applyFill="1" applyBorder="1" applyAlignment="1">
      <alignment horizontal="center"/>
    </xf>
    <xf numFmtId="1" fontId="0" fillId="36" borderId="10" xfId="0" applyNumberFormat="1" applyFill="1" applyBorder="1" applyAlignment="1">
      <alignment horizontal="center"/>
    </xf>
    <xf numFmtId="0" fontId="0" fillId="0" borderId="20" xfId="0" applyFont="1" applyBorder="1" applyAlignment="1">
      <alignment vertical="center"/>
    </xf>
    <xf numFmtId="181" fontId="0" fillId="36" borderId="10" xfId="0" applyNumberFormat="1" applyFill="1" applyBorder="1" applyAlignment="1">
      <alignment horizontal="center" vertical="center"/>
    </xf>
    <xf numFmtId="0" fontId="0" fillId="0" borderId="12" xfId="0" applyFont="1" applyBorder="1" applyAlignment="1">
      <alignment vertical="center"/>
    </xf>
    <xf numFmtId="9" fontId="0" fillId="35" borderId="22" xfId="0" applyNumberFormat="1" applyFill="1" applyBorder="1" applyAlignment="1">
      <alignment horizontal="center" vertical="center"/>
    </xf>
    <xf numFmtId="0" fontId="0" fillId="39" borderId="0" xfId="0" applyFill="1" applyAlignment="1">
      <alignment horizontal="center"/>
    </xf>
    <xf numFmtId="182" fontId="0" fillId="39" borderId="0" xfId="0" applyNumberFormat="1" applyFill="1" applyAlignment="1">
      <alignment/>
    </xf>
    <xf numFmtId="0" fontId="0" fillId="39" borderId="0" xfId="0" applyFill="1" applyBorder="1" applyAlignment="1">
      <alignment horizontal="left" vertical="center" wrapText="1"/>
    </xf>
    <xf numFmtId="0" fontId="0" fillId="39" borderId="0" xfId="0" applyFill="1" applyAlignment="1">
      <alignment vertical="center"/>
    </xf>
    <xf numFmtId="3" fontId="0" fillId="39" borderId="0" xfId="0" applyNumberFormat="1" applyFill="1" applyAlignment="1">
      <alignment horizontal="center" vertical="center"/>
    </xf>
    <xf numFmtId="10" fontId="0" fillId="39" borderId="0" xfId="0" applyNumberFormat="1" applyFill="1" applyAlignment="1">
      <alignment/>
    </xf>
    <xf numFmtId="0" fontId="0" fillId="39" borderId="0" xfId="0" applyFill="1" applyAlignment="1">
      <alignment horizontal="center" vertical="center"/>
    </xf>
    <xf numFmtId="0" fontId="0" fillId="39" borderId="0" xfId="0" applyFill="1" applyAlignment="1">
      <alignment vertical="center" wrapText="1"/>
    </xf>
    <xf numFmtId="10" fontId="0" fillId="39" borderId="0" xfId="0" applyNumberFormat="1" applyFill="1" applyAlignment="1">
      <alignment horizontal="center" vertical="center"/>
    </xf>
    <xf numFmtId="3" fontId="0" fillId="39" borderId="0" xfId="0" applyNumberFormat="1" applyFill="1" applyAlignment="1">
      <alignment horizontal="center"/>
    </xf>
    <xf numFmtId="1" fontId="0" fillId="39" borderId="0" xfId="0" applyNumberFormat="1" applyFill="1" applyAlignment="1">
      <alignment horizontal="center"/>
    </xf>
    <xf numFmtId="0" fontId="0" fillId="39" borderId="45" xfId="0" applyFill="1" applyBorder="1" applyAlignment="1">
      <alignment horizontal="center" vertical="center" wrapText="1"/>
    </xf>
    <xf numFmtId="0" fontId="0" fillId="39" borderId="46" xfId="0" applyFill="1" applyBorder="1" applyAlignment="1">
      <alignment horizontal="center" vertical="center" wrapText="1"/>
    </xf>
    <xf numFmtId="0" fontId="0" fillId="39" borderId="57" xfId="0" applyFill="1" applyBorder="1" applyAlignment="1">
      <alignment horizontal="left" vertical="center"/>
    </xf>
    <xf numFmtId="0" fontId="0" fillId="39" borderId="0" xfId="0" applyFill="1" applyBorder="1" applyAlignment="1">
      <alignment horizontal="left" vertical="center"/>
    </xf>
    <xf numFmtId="0" fontId="0" fillId="0" borderId="11" xfId="0" applyFont="1" applyBorder="1" applyAlignment="1">
      <alignment vertical="center"/>
    </xf>
    <xf numFmtId="0" fontId="5" fillId="39" borderId="0" xfId="0" applyFont="1" applyFill="1" applyBorder="1" applyAlignment="1">
      <alignment horizontal="left"/>
    </xf>
    <xf numFmtId="3" fontId="0" fillId="36" borderId="13" xfId="0" applyNumberFormat="1" applyFill="1" applyBorder="1" applyAlignment="1">
      <alignment horizontal="center" vertical="center"/>
    </xf>
    <xf numFmtId="9" fontId="0" fillId="0" borderId="10" xfId="0" applyNumberFormat="1" applyBorder="1" applyAlignment="1">
      <alignment horizontal="left"/>
    </xf>
    <xf numFmtId="3" fontId="0" fillId="39" borderId="10" xfId="0" applyNumberFormat="1" applyFill="1" applyBorder="1" applyAlignment="1">
      <alignment horizontal="center" vertical="center"/>
    </xf>
    <xf numFmtId="0" fontId="0" fillId="39" borderId="10" xfId="0" applyFill="1" applyBorder="1" applyAlignment="1">
      <alignment horizontal="center" vertical="center"/>
    </xf>
    <xf numFmtId="1" fontId="0" fillId="39" borderId="58" xfId="0" applyNumberFormat="1" applyFill="1" applyBorder="1" applyAlignment="1">
      <alignment horizontal="right"/>
    </xf>
    <xf numFmtId="0" fontId="0" fillId="39" borderId="0" xfId="0" applyFill="1" applyBorder="1" applyAlignment="1">
      <alignment vertical="center" wrapText="1"/>
    </xf>
    <xf numFmtId="184" fontId="0" fillId="39" borderId="0" xfId="0" applyNumberFormat="1" applyFill="1" applyBorder="1" applyAlignment="1">
      <alignment horizontal="center" vertical="center"/>
    </xf>
    <xf numFmtId="0" fontId="0" fillId="39" borderId="0" xfId="0" applyFill="1" applyBorder="1" applyAlignment="1">
      <alignment vertical="center"/>
    </xf>
    <xf numFmtId="3" fontId="0" fillId="39" borderId="0" xfId="0" applyNumberFormat="1" applyFill="1" applyBorder="1" applyAlignment="1">
      <alignment horizontal="center" vertical="center"/>
    </xf>
    <xf numFmtId="183" fontId="0" fillId="39" borderId="0" xfId="0" applyNumberFormat="1" applyFill="1" applyBorder="1" applyAlignment="1">
      <alignment horizontal="center" vertical="center"/>
    </xf>
    <xf numFmtId="0" fontId="37" fillId="39" borderId="0" xfId="0" applyFont="1" applyFill="1" applyAlignment="1">
      <alignment horizontal="center"/>
    </xf>
    <xf numFmtId="0" fontId="0" fillId="39" borderId="21" xfId="0" applyFill="1" applyBorder="1" applyAlignment="1">
      <alignment horizontal="center" vertical="center"/>
    </xf>
    <xf numFmtId="0" fontId="0" fillId="39" borderId="22" xfId="0" applyFill="1" applyBorder="1" applyAlignment="1">
      <alignment horizontal="center" vertical="center"/>
    </xf>
    <xf numFmtId="0" fontId="0" fillId="39" borderId="0" xfId="0" applyFont="1" applyFill="1" applyBorder="1" applyAlignment="1">
      <alignment vertical="center"/>
    </xf>
    <xf numFmtId="0" fontId="4" fillId="39" borderId="0" xfId="0" applyFont="1" applyFill="1" applyBorder="1" applyAlignment="1">
      <alignment horizontal="center" vertical="center" wrapText="1"/>
    </xf>
    <xf numFmtId="4" fontId="0" fillId="39" borderId="0" xfId="0" applyNumberFormat="1" applyFill="1" applyBorder="1" applyAlignment="1">
      <alignment horizontal="center" vertical="center"/>
    </xf>
    <xf numFmtId="0" fontId="4" fillId="39" borderId="18" xfId="0" applyFont="1" applyFill="1" applyBorder="1" applyAlignment="1">
      <alignment/>
    </xf>
    <xf numFmtId="0" fontId="36" fillId="39" borderId="0" xfId="0" applyFont="1" applyFill="1" applyAlignment="1">
      <alignment/>
    </xf>
    <xf numFmtId="175" fontId="0" fillId="39" borderId="0" xfId="0" applyNumberFormat="1" applyFill="1" applyAlignment="1">
      <alignment horizontal="center" vertical="center"/>
    </xf>
    <xf numFmtId="0" fontId="94" fillId="39" borderId="0" xfId="0" applyFont="1" applyFill="1" applyAlignment="1">
      <alignment/>
    </xf>
    <xf numFmtId="0" fontId="5" fillId="0" borderId="0" xfId="0" applyFont="1" applyBorder="1" applyAlignment="1">
      <alignment/>
    </xf>
    <xf numFmtId="0" fontId="0" fillId="36" borderId="22" xfId="0" applyFont="1" applyFill="1" applyBorder="1" applyAlignment="1">
      <alignment horizontal="center" vertical="center"/>
    </xf>
    <xf numFmtId="0" fontId="0" fillId="39" borderId="0" xfId="0" applyFill="1" applyBorder="1" applyAlignment="1">
      <alignment horizontal="right"/>
    </xf>
    <xf numFmtId="1" fontId="0" fillId="39" borderId="0" xfId="0" applyNumberFormat="1" applyFill="1" applyBorder="1" applyAlignment="1">
      <alignment horizontal="right"/>
    </xf>
    <xf numFmtId="172" fontId="0" fillId="37" borderId="0" xfId="0" applyNumberFormat="1" applyFill="1" applyBorder="1" applyAlignment="1">
      <alignment horizontal="center" vertical="center"/>
    </xf>
    <xf numFmtId="0" fontId="0" fillId="39" borderId="46" xfId="0" applyFont="1" applyFill="1" applyBorder="1" applyAlignment="1">
      <alignment horizontal="center" vertical="center" wrapText="1"/>
    </xf>
    <xf numFmtId="0" fontId="0" fillId="39" borderId="57" xfId="0" applyFont="1" applyFill="1" applyBorder="1" applyAlignment="1">
      <alignment wrapText="1"/>
    </xf>
    <xf numFmtId="0" fontId="0" fillId="39" borderId="0" xfId="0" applyFont="1" applyFill="1" applyBorder="1" applyAlignment="1">
      <alignment wrapText="1"/>
    </xf>
    <xf numFmtId="0" fontId="0" fillId="39" borderId="58" xfId="0" applyFill="1" applyBorder="1" applyAlignment="1">
      <alignment horizontal="right"/>
    </xf>
    <xf numFmtId="3" fontId="0" fillId="33" borderId="0" xfId="0" applyNumberFormat="1" applyFill="1" applyBorder="1" applyAlignment="1">
      <alignment/>
    </xf>
    <xf numFmtId="2" fontId="0" fillId="39" borderId="10" xfId="0" applyNumberFormat="1" applyFill="1" applyBorder="1" applyAlignment="1">
      <alignment horizontal="center" vertical="center"/>
    </xf>
    <xf numFmtId="49" fontId="0" fillId="39" borderId="0" xfId="0" applyNumberFormat="1" applyFont="1" applyFill="1" applyBorder="1" applyAlignment="1">
      <alignment horizontal="center" vertical="center"/>
    </xf>
    <xf numFmtId="2" fontId="0" fillId="39" borderId="0" xfId="0" applyNumberFormat="1" applyFill="1" applyBorder="1" applyAlignment="1">
      <alignment horizontal="center" vertical="center"/>
    </xf>
    <xf numFmtId="0" fontId="0" fillId="39" borderId="0" xfId="0" applyFont="1" applyFill="1" applyBorder="1" applyAlignment="1">
      <alignment horizontal="right"/>
    </xf>
    <xf numFmtId="0" fontId="0" fillId="39" borderId="0" xfId="0" applyFill="1" applyBorder="1" applyAlignment="1">
      <alignment/>
    </xf>
    <xf numFmtId="0" fontId="0" fillId="39" borderId="0" xfId="0" applyFont="1" applyFill="1" applyBorder="1" applyAlignment="1">
      <alignment vertical="center" wrapText="1"/>
    </xf>
    <xf numFmtId="0" fontId="0" fillId="39" borderId="49" xfId="0" applyFont="1" applyFill="1" applyBorder="1" applyAlignment="1">
      <alignment vertical="center"/>
    </xf>
    <xf numFmtId="0" fontId="0" fillId="39" borderId="49" xfId="0" applyFont="1" applyFill="1" applyBorder="1" applyAlignment="1">
      <alignment/>
    </xf>
    <xf numFmtId="0" fontId="0" fillId="39" borderId="10" xfId="0" applyFill="1" applyBorder="1" applyAlignment="1">
      <alignment horizontal="center" vertical="center"/>
    </xf>
    <xf numFmtId="0" fontId="4" fillId="39" borderId="49" xfId="0" applyFont="1" applyFill="1" applyBorder="1" applyAlignment="1">
      <alignment/>
    </xf>
    <xf numFmtId="0" fontId="4" fillId="39" borderId="10" xfId="0" applyFont="1" applyFill="1" applyBorder="1" applyAlignment="1">
      <alignment horizontal="center" vertical="center"/>
    </xf>
    <xf numFmtId="3" fontId="4" fillId="0" borderId="10" xfId="0" applyNumberFormat="1" applyFont="1" applyBorder="1" applyAlignment="1">
      <alignment horizontal="center" vertical="center"/>
    </xf>
    <xf numFmtId="0" fontId="0" fillId="39" borderId="0" xfId="0" applyFont="1" applyFill="1" applyAlignment="1">
      <alignment/>
    </xf>
    <xf numFmtId="0" fontId="81" fillId="39" borderId="0" xfId="53" applyFill="1" applyBorder="1" applyAlignment="1" applyProtection="1">
      <alignment horizontal="left" vertical="center" wrapText="1"/>
      <protection/>
    </xf>
    <xf numFmtId="0" fontId="0" fillId="39" borderId="0" xfId="0" applyFont="1" applyFill="1" applyAlignment="1">
      <alignment/>
    </xf>
    <xf numFmtId="3" fontId="0" fillId="39" borderId="0" xfId="0" applyNumberFormat="1" applyFont="1" applyFill="1" applyBorder="1" applyAlignment="1">
      <alignment horizontal="right" vertical="center"/>
    </xf>
    <xf numFmtId="0" fontId="0" fillId="37" borderId="0" xfId="0" applyFill="1" applyBorder="1" applyAlignment="1">
      <alignment horizontal="center"/>
    </xf>
    <xf numFmtId="3" fontId="0" fillId="37" borderId="0" xfId="0" applyNumberFormat="1" applyFill="1" applyBorder="1" applyAlignment="1">
      <alignment horizontal="center"/>
    </xf>
    <xf numFmtId="3" fontId="0" fillId="36" borderId="0" xfId="0" applyNumberFormat="1" applyFont="1" applyFill="1" applyBorder="1" applyAlignment="1">
      <alignment horizontal="center" vertical="center"/>
    </xf>
    <xf numFmtId="3" fontId="0" fillId="39" borderId="10" xfId="0" applyNumberFormat="1" applyFont="1" applyFill="1" applyBorder="1" applyAlignment="1">
      <alignment horizontal="center" vertical="center"/>
    </xf>
    <xf numFmtId="0" fontId="4" fillId="0" borderId="34" xfId="0" applyFont="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Border="1" applyAlignment="1">
      <alignment horizontal="center" vertical="center"/>
    </xf>
    <xf numFmtId="3" fontId="0" fillId="35" borderId="0" xfId="0" applyNumberFormat="1" applyFill="1" applyBorder="1" applyAlignment="1">
      <alignment horizontal="center" vertical="center"/>
    </xf>
    <xf numFmtId="172" fontId="15" fillId="16" borderId="0" xfId="0" applyNumberFormat="1" applyFont="1" applyFill="1" applyAlignment="1">
      <alignment/>
    </xf>
    <xf numFmtId="0" fontId="95" fillId="44" borderId="0" xfId="0" applyFont="1" applyFill="1" applyAlignment="1">
      <alignment vertical="center"/>
    </xf>
    <xf numFmtId="0" fontId="15" fillId="45" borderId="0" xfId="0" applyFont="1" applyFill="1" applyAlignment="1">
      <alignment vertical="center"/>
    </xf>
    <xf numFmtId="0" fontId="95" fillId="46" borderId="0" xfId="0" applyFont="1" applyFill="1" applyAlignment="1">
      <alignment vertical="center"/>
    </xf>
    <xf numFmtId="0" fontId="15" fillId="47" borderId="0" xfId="0" applyFont="1" applyFill="1" applyAlignment="1">
      <alignment vertical="center"/>
    </xf>
    <xf numFmtId="0" fontId="15" fillId="33" borderId="0" xfId="0" applyFont="1" applyFill="1" applyAlignment="1">
      <alignment horizontal="left" vertical="center"/>
    </xf>
    <xf numFmtId="0" fontId="15" fillId="35" borderId="0" xfId="0" applyFont="1" applyFill="1" applyAlignment="1">
      <alignment horizontal="left" vertical="center"/>
    </xf>
    <xf numFmtId="0" fontId="15" fillId="37" borderId="0" xfId="0" applyFont="1" applyFill="1" applyAlignment="1">
      <alignment horizontal="left" vertical="center"/>
    </xf>
    <xf numFmtId="0" fontId="15" fillId="36" borderId="0" xfId="0" applyFont="1" applyFill="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12" xfId="0" applyFont="1" applyBorder="1" applyAlignment="1">
      <alignment vertical="center"/>
    </xf>
    <xf numFmtId="0" fontId="0" fillId="0" borderId="11" xfId="0" applyBorder="1" applyAlignment="1">
      <alignment horizontal="center" vertical="center"/>
    </xf>
    <xf numFmtId="0" fontId="4" fillId="0" borderId="12" xfId="0" applyFont="1" applyBorder="1" applyAlignment="1">
      <alignment horizontal="center" vertical="center"/>
    </xf>
    <xf numFmtId="3" fontId="12" fillId="36" borderId="0" xfId="0" applyNumberFormat="1" applyFont="1" applyFill="1" applyAlignment="1">
      <alignment/>
    </xf>
    <xf numFmtId="3" fontId="23" fillId="36" borderId="13" xfId="0" applyNumberFormat="1" applyFont="1" applyFill="1" applyBorder="1" applyAlignment="1">
      <alignment horizontal="center" vertical="center"/>
    </xf>
    <xf numFmtId="3" fontId="0" fillId="36" borderId="53" xfId="0" applyNumberFormat="1" applyFill="1" applyBorder="1" applyAlignment="1">
      <alignment horizontal="center" vertical="center"/>
    </xf>
    <xf numFmtId="3" fontId="0" fillId="36" borderId="53" xfId="0" applyNumberFormat="1" applyFont="1" applyFill="1" applyBorder="1" applyAlignment="1">
      <alignment horizontal="center" vertical="center"/>
    </xf>
    <xf numFmtId="4" fontId="23" fillId="36" borderId="59" xfId="0" applyNumberFormat="1" applyFont="1" applyFill="1" applyBorder="1" applyAlignment="1">
      <alignment horizontal="center" vertical="center"/>
    </xf>
    <xf numFmtId="4" fontId="23" fillId="36" borderId="22" xfId="0" applyNumberFormat="1" applyFont="1" applyFill="1" applyBorder="1" applyAlignment="1">
      <alignment horizontal="center" vertical="center"/>
    </xf>
    <xf numFmtId="4" fontId="23" fillId="36" borderId="13" xfId="0" applyNumberFormat="1" applyFont="1" applyFill="1" applyBorder="1" applyAlignment="1">
      <alignment horizontal="center" vertical="center"/>
    </xf>
    <xf numFmtId="4" fontId="0" fillId="36" borderId="10" xfId="0" applyNumberFormat="1" applyFill="1" applyBorder="1" applyAlignment="1">
      <alignment horizontal="center" vertical="center"/>
    </xf>
    <xf numFmtId="4" fontId="0" fillId="36" borderId="21" xfId="0" applyNumberFormat="1" applyFill="1" applyBorder="1" applyAlignment="1">
      <alignment horizontal="center" vertical="center"/>
    </xf>
    <xf numFmtId="4" fontId="0" fillId="36" borderId="53" xfId="0" applyNumberFormat="1" applyFill="1" applyBorder="1" applyAlignment="1">
      <alignment horizontal="center" vertical="center"/>
    </xf>
    <xf numFmtId="4" fontId="0" fillId="36" borderId="21" xfId="0" applyNumberFormat="1" applyFont="1" applyFill="1" applyBorder="1" applyAlignment="1">
      <alignment horizontal="center" vertical="center"/>
    </xf>
    <xf numFmtId="4" fontId="0" fillId="36" borderId="44" xfId="0" applyNumberFormat="1" applyFill="1" applyBorder="1" applyAlignment="1">
      <alignment horizontal="center" vertical="center"/>
    </xf>
    <xf numFmtId="4" fontId="0" fillId="36" borderId="42" xfId="0" applyNumberFormat="1" applyFont="1" applyFill="1" applyBorder="1" applyAlignment="1">
      <alignment horizontal="center" vertical="center"/>
    </xf>
    <xf numFmtId="11" fontId="15" fillId="0" borderId="0" xfId="0" applyNumberFormat="1" applyFont="1" applyFill="1" applyBorder="1" applyAlignment="1">
      <alignment/>
    </xf>
    <xf numFmtId="0" fontId="0" fillId="0" borderId="0" xfId="0" applyFill="1" applyBorder="1" applyAlignment="1">
      <alignment horizontal="center" vertical="center"/>
    </xf>
    <xf numFmtId="172" fontId="0" fillId="39" borderId="0" xfId="0" applyNumberFormat="1" applyFont="1" applyFill="1" applyBorder="1" applyAlignment="1">
      <alignment horizontal="center" vertical="center"/>
    </xf>
    <xf numFmtId="172" fontId="0" fillId="41" borderId="0" xfId="0" applyNumberFormat="1" applyFont="1" applyFill="1" applyBorder="1" applyAlignment="1">
      <alignment horizontal="center" vertical="center"/>
    </xf>
    <xf numFmtId="172" fontId="0" fillId="39" borderId="0" xfId="0" applyNumberFormat="1" applyFont="1" applyFill="1" applyBorder="1" applyAlignment="1">
      <alignment horizontal="center"/>
    </xf>
    <xf numFmtId="172" fontId="0" fillId="37" borderId="0" xfId="0" applyNumberFormat="1" applyFont="1" applyFill="1" applyBorder="1" applyAlignment="1">
      <alignment horizontal="center" vertical="center"/>
    </xf>
    <xf numFmtId="173" fontId="0" fillId="0" borderId="10" xfId="0" applyNumberFormat="1" applyFont="1" applyBorder="1" applyAlignment="1">
      <alignment horizontal="center" vertical="center"/>
    </xf>
    <xf numFmtId="0" fontId="0" fillId="39" borderId="23" xfId="0" applyFill="1" applyBorder="1" applyAlignment="1">
      <alignment/>
    </xf>
    <xf numFmtId="173" fontId="0" fillId="39" borderId="23" xfId="0" applyNumberFormat="1" applyFont="1" applyFill="1" applyBorder="1" applyAlignment="1">
      <alignment horizontal="right"/>
    </xf>
    <xf numFmtId="3" fontId="8" fillId="0" borderId="34" xfId="0" applyNumberFormat="1" applyFont="1" applyBorder="1" applyAlignment="1">
      <alignment horizontal="left"/>
    </xf>
    <xf numFmtId="3" fontId="8" fillId="0" borderId="43" xfId="0" applyNumberFormat="1" applyFont="1" applyBorder="1" applyAlignment="1">
      <alignment horizontal="left"/>
    </xf>
    <xf numFmtId="3" fontId="8" fillId="0" borderId="35" xfId="0" applyNumberFormat="1" applyFont="1" applyBorder="1" applyAlignment="1">
      <alignment horizontal="left"/>
    </xf>
    <xf numFmtId="3" fontId="8" fillId="0" borderId="34" xfId="0" applyNumberFormat="1" applyFont="1" applyBorder="1" applyAlignment="1">
      <alignment/>
    </xf>
    <xf numFmtId="3" fontId="8" fillId="0" borderId="43" xfId="0" applyNumberFormat="1" applyFont="1" applyBorder="1" applyAlignment="1">
      <alignment/>
    </xf>
    <xf numFmtId="3" fontId="8" fillId="0" borderId="35" xfId="0" applyNumberFormat="1" applyFont="1" applyBorder="1" applyAlignment="1">
      <alignment/>
    </xf>
    <xf numFmtId="3" fontId="5" fillId="43" borderId="0" xfId="0" applyNumberFormat="1" applyFont="1" applyFill="1" applyAlignment="1">
      <alignment horizontal="left" wrapText="1"/>
    </xf>
    <xf numFmtId="0" fontId="0" fillId="43" borderId="0" xfId="0" applyFill="1" applyAlignment="1">
      <alignment/>
    </xf>
    <xf numFmtId="0" fontId="0" fillId="0" borderId="0" xfId="0" applyAlignment="1">
      <alignment horizontal="left" wrapText="1"/>
    </xf>
    <xf numFmtId="0" fontId="0" fillId="0" borderId="49" xfId="0" applyBorder="1" applyAlignment="1">
      <alignment/>
    </xf>
    <xf numFmtId="0" fontId="0" fillId="0" borderId="60" xfId="0" applyBorder="1" applyAlignment="1">
      <alignment/>
    </xf>
    <xf numFmtId="0" fontId="0" fillId="39" borderId="51" xfId="0" applyFill="1" applyBorder="1" applyAlignment="1">
      <alignment/>
    </xf>
    <xf numFmtId="0" fontId="0" fillId="43" borderId="0" xfId="0" applyFill="1" applyBorder="1" applyAlignment="1">
      <alignment horizontal="left"/>
    </xf>
    <xf numFmtId="0" fontId="5" fillId="39" borderId="32" xfId="0" applyFont="1" applyFill="1" applyBorder="1" applyAlignment="1">
      <alignment horizontal="left"/>
    </xf>
    <xf numFmtId="0" fontId="5" fillId="39" borderId="0" xfId="0" applyFont="1" applyFill="1" applyBorder="1" applyAlignment="1">
      <alignment horizontal="left"/>
    </xf>
    <xf numFmtId="0" fontId="0" fillId="39" borderId="32" xfId="0" applyFill="1" applyBorder="1" applyAlignment="1">
      <alignment horizontal="left"/>
    </xf>
    <xf numFmtId="0" fontId="0" fillId="39" borderId="0" xfId="0" applyFill="1" applyBorder="1" applyAlignment="1">
      <alignment horizontal="left"/>
    </xf>
    <xf numFmtId="0" fontId="0" fillId="39" borderId="32" xfId="0" applyFont="1" applyFill="1" applyBorder="1" applyAlignment="1">
      <alignment horizontal="left"/>
    </xf>
    <xf numFmtId="0" fontId="3" fillId="39" borderId="32" xfId="0" applyFont="1" applyFill="1" applyBorder="1" applyAlignment="1">
      <alignment horizontal="left"/>
    </xf>
    <xf numFmtId="0" fontId="3" fillId="39" borderId="0" xfId="0" applyFont="1" applyFill="1" applyBorder="1" applyAlignment="1">
      <alignment horizontal="left"/>
    </xf>
    <xf numFmtId="0" fontId="0" fillId="0" borderId="49" xfId="0" applyFont="1" applyBorder="1" applyAlignment="1">
      <alignment horizontal="center" vertical="center"/>
    </xf>
    <xf numFmtId="0" fontId="0" fillId="0" borderId="60" xfId="0" applyFont="1" applyBorder="1" applyAlignment="1">
      <alignment horizontal="center" vertical="center"/>
    </xf>
    <xf numFmtId="0" fontId="0" fillId="39" borderId="0" xfId="0" applyFont="1" applyFill="1" applyBorder="1" applyAlignment="1">
      <alignment horizontal="left"/>
    </xf>
    <xf numFmtId="0" fontId="19" fillId="38" borderId="0" xfId="0" applyFont="1" applyFill="1" applyBorder="1" applyAlignment="1">
      <alignment/>
    </xf>
    <xf numFmtId="0" fontId="0" fillId="0" borderId="0" xfId="0" applyAlignment="1">
      <alignment/>
    </xf>
    <xf numFmtId="0" fontId="0" fillId="39" borderId="47" xfId="0" applyFont="1" applyFill="1" applyBorder="1" applyAlignment="1">
      <alignment vertical="center" wrapText="1"/>
    </xf>
    <xf numFmtId="0" fontId="0" fillId="39" borderId="61" xfId="0" applyFill="1" applyBorder="1" applyAlignment="1">
      <alignment vertical="center" wrapText="1"/>
    </xf>
    <xf numFmtId="0" fontId="0" fillId="42" borderId="62" xfId="0" applyFill="1" applyBorder="1" applyAlignment="1">
      <alignment horizontal="left" vertical="center"/>
    </xf>
    <xf numFmtId="0" fontId="0" fillId="42" borderId="63" xfId="0" applyFill="1" applyBorder="1" applyAlignment="1">
      <alignment horizontal="left" vertical="center"/>
    </xf>
    <xf numFmtId="0" fontId="0" fillId="42" borderId="49" xfId="0" applyFont="1" applyFill="1" applyBorder="1" applyAlignment="1">
      <alignment horizontal="left" vertical="center"/>
    </xf>
    <xf numFmtId="0" fontId="0" fillId="42" borderId="16" xfId="0" applyFill="1" applyBorder="1" applyAlignment="1">
      <alignment horizontal="left" vertical="center"/>
    </xf>
    <xf numFmtId="0" fontId="0" fillId="42" borderId="49" xfId="0" applyFill="1" applyBorder="1" applyAlignment="1">
      <alignment horizontal="left" vertical="center"/>
    </xf>
    <xf numFmtId="0" fontId="0" fillId="39" borderId="57" xfId="0" applyFont="1" applyFill="1" applyBorder="1" applyAlignment="1">
      <alignment horizontal="left" wrapText="1"/>
    </xf>
    <xf numFmtId="0" fontId="0" fillId="39" borderId="0" xfId="0" applyFont="1" applyFill="1" applyBorder="1" applyAlignment="1">
      <alignment horizontal="left" wrapText="1"/>
    </xf>
    <xf numFmtId="0" fontId="0" fillId="42" borderId="50" xfId="0" applyFill="1" applyBorder="1" applyAlignment="1">
      <alignment horizontal="left" vertical="center"/>
    </xf>
    <xf numFmtId="0" fontId="0" fillId="42" borderId="17" xfId="0" applyFill="1" applyBorder="1" applyAlignment="1">
      <alignment horizontal="left" vertical="center"/>
    </xf>
    <xf numFmtId="0" fontId="87" fillId="39" borderId="64" xfId="0" applyFont="1" applyFill="1" applyBorder="1" applyAlignment="1">
      <alignment wrapText="1"/>
    </xf>
    <xf numFmtId="0" fontId="87" fillId="39" borderId="43" xfId="0" applyFont="1" applyFill="1" applyBorder="1" applyAlignment="1">
      <alignment wrapText="1"/>
    </xf>
    <xf numFmtId="0" fontId="87" fillId="39" borderId="15" xfId="0" applyFont="1" applyFill="1" applyBorder="1" applyAlignment="1">
      <alignment wrapText="1"/>
    </xf>
    <xf numFmtId="49" fontId="0" fillId="39" borderId="65" xfId="0" applyNumberFormat="1" applyFont="1" applyFill="1" applyBorder="1" applyAlignment="1">
      <alignment vertical="center" wrapText="1"/>
    </xf>
    <xf numFmtId="49" fontId="0" fillId="39" borderId="53" xfId="0" applyNumberFormat="1" applyFont="1" applyFill="1" applyBorder="1" applyAlignment="1">
      <alignment vertical="center" wrapText="1"/>
    </xf>
    <xf numFmtId="49" fontId="0" fillId="39" borderId="16" xfId="0" applyNumberFormat="1" applyFont="1" applyFill="1" applyBorder="1" applyAlignment="1">
      <alignment vertical="center" wrapText="1"/>
    </xf>
    <xf numFmtId="49" fontId="0" fillId="39" borderId="66" xfId="0" applyNumberFormat="1" applyFont="1" applyFill="1" applyBorder="1" applyAlignment="1">
      <alignment vertical="center" wrapText="1"/>
    </xf>
    <xf numFmtId="49" fontId="0" fillId="39" borderId="51" xfId="0" applyNumberFormat="1" applyFont="1" applyFill="1" applyBorder="1" applyAlignment="1">
      <alignment vertical="center" wrapText="1"/>
    </xf>
    <xf numFmtId="49" fontId="0" fillId="39" borderId="67" xfId="0" applyNumberFormat="1" applyFont="1" applyFill="1" applyBorder="1" applyAlignment="1">
      <alignment vertical="center" wrapText="1"/>
    </xf>
    <xf numFmtId="49" fontId="0" fillId="39" borderId="68" xfId="0" applyNumberFormat="1" applyFont="1" applyFill="1" applyBorder="1" applyAlignment="1">
      <alignment vertical="center" wrapText="1"/>
    </xf>
    <xf numFmtId="49" fontId="0" fillId="39" borderId="69" xfId="0" applyNumberFormat="1" applyFont="1" applyFill="1" applyBorder="1" applyAlignment="1">
      <alignment vertical="center" wrapText="1"/>
    </xf>
    <xf numFmtId="49" fontId="0" fillId="39" borderId="70" xfId="0" applyNumberFormat="1" applyFont="1" applyFill="1" applyBorder="1" applyAlignment="1">
      <alignment vertical="center" wrapText="1"/>
    </xf>
    <xf numFmtId="0" fontId="16" fillId="38" borderId="0" xfId="0" applyFont="1" applyFill="1" applyBorder="1" applyAlignment="1">
      <alignment/>
    </xf>
    <xf numFmtId="0" fontId="5" fillId="43" borderId="0" xfId="0" applyFont="1" applyFill="1" applyAlignment="1">
      <alignment horizontal="left" wrapText="1"/>
    </xf>
    <xf numFmtId="0" fontId="3" fillId="0" borderId="14" xfId="0" applyFont="1" applyBorder="1" applyAlignment="1">
      <alignment horizontal="left"/>
    </xf>
    <xf numFmtId="0" fontId="3" fillId="0" borderId="19"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5" fillId="0" borderId="11" xfId="0" applyFont="1" applyBorder="1" applyAlignment="1">
      <alignment horizontal="left"/>
    </xf>
    <xf numFmtId="0" fontId="5" fillId="0" borderId="10" xfId="0" applyFont="1" applyBorder="1" applyAlignment="1">
      <alignment horizontal="left"/>
    </xf>
    <xf numFmtId="0" fontId="5" fillId="35" borderId="50" xfId="0" applyFont="1" applyFill="1" applyBorder="1" applyAlignment="1">
      <alignment horizontal="center"/>
    </xf>
    <xf numFmtId="0" fontId="5" fillId="35" borderId="59" xfId="0" applyFont="1" applyFill="1" applyBorder="1" applyAlignment="1">
      <alignment horizontal="center"/>
    </xf>
    <xf numFmtId="3" fontId="5" fillId="35" borderId="49" xfId="0" applyNumberFormat="1" applyFont="1" applyFill="1" applyBorder="1" applyAlignment="1">
      <alignment horizontal="center"/>
    </xf>
    <xf numFmtId="3" fontId="5" fillId="35" borderId="53" xfId="0" applyNumberFormat="1" applyFont="1" applyFill="1" applyBorder="1" applyAlignment="1">
      <alignment horizontal="center"/>
    </xf>
    <xf numFmtId="0" fontId="5" fillId="35" borderId="53" xfId="0" applyFont="1" applyFill="1" applyBorder="1" applyAlignment="1">
      <alignment horizontal="center"/>
    </xf>
    <xf numFmtId="0" fontId="3" fillId="0" borderId="34" xfId="0" applyFont="1" applyBorder="1" applyAlignment="1">
      <alignment horizontal="center"/>
    </xf>
    <xf numFmtId="0" fontId="3" fillId="0" borderId="43" xfId="0" applyFont="1" applyBorder="1" applyAlignment="1">
      <alignment horizontal="center"/>
    </xf>
    <xf numFmtId="0" fontId="3" fillId="0" borderId="35" xfId="0" applyFont="1" applyBorder="1" applyAlignment="1">
      <alignment horizontal="center"/>
    </xf>
    <xf numFmtId="0" fontId="5" fillId="35" borderId="13" xfId="0" applyFont="1" applyFill="1" applyBorder="1" applyAlignment="1">
      <alignment horizontal="center" vertical="center"/>
    </xf>
    <xf numFmtId="4" fontId="5" fillId="0" borderId="13" xfId="0" applyNumberFormat="1" applyFont="1" applyBorder="1" applyAlignment="1">
      <alignment horizontal="center" vertical="center"/>
    </xf>
    <xf numFmtId="4" fontId="5" fillId="0" borderId="22" xfId="0" applyNumberFormat="1" applyFont="1" applyBorder="1" applyAlignment="1">
      <alignment horizontal="center" vertical="center"/>
    </xf>
    <xf numFmtId="0" fontId="5" fillId="35" borderId="10" xfId="0" applyFont="1" applyFill="1" applyBorder="1" applyAlignment="1">
      <alignment horizontal="center" vertical="center"/>
    </xf>
    <xf numFmtId="4" fontId="5" fillId="0" borderId="10" xfId="0" applyNumberFormat="1" applyFont="1" applyBorder="1" applyAlignment="1">
      <alignment horizontal="center" vertical="center"/>
    </xf>
    <xf numFmtId="4" fontId="5" fillId="0" borderId="21" xfId="0" applyNumberFormat="1" applyFont="1" applyBorder="1" applyAlignment="1">
      <alignment horizontal="center" vertical="center"/>
    </xf>
    <xf numFmtId="0" fontId="5" fillId="0" borderId="65" xfId="0" applyFont="1" applyBorder="1" applyAlignment="1">
      <alignment horizontal="left"/>
    </xf>
    <xf numFmtId="0" fontId="5" fillId="0" borderId="60" xfId="0" applyFont="1" applyBorder="1" applyAlignment="1">
      <alignment horizontal="left"/>
    </xf>
    <xf numFmtId="0" fontId="3" fillId="0" borderId="64" xfId="0" applyFont="1" applyBorder="1" applyAlignment="1">
      <alignment horizontal="left"/>
    </xf>
    <xf numFmtId="0" fontId="3" fillId="0" borderId="35" xfId="0" applyFont="1" applyBorder="1" applyAlignment="1">
      <alignment horizontal="left"/>
    </xf>
    <xf numFmtId="0" fontId="3" fillId="0" borderId="19" xfId="0" applyFont="1" applyBorder="1" applyAlignment="1">
      <alignment horizontal="center"/>
    </xf>
    <xf numFmtId="0" fontId="3" fillId="0" borderId="18" xfId="0" applyFont="1" applyBorder="1" applyAlignment="1">
      <alignment horizontal="center"/>
    </xf>
    <xf numFmtId="0" fontId="5" fillId="35" borderId="49" xfId="0" applyFont="1" applyFill="1" applyBorder="1" applyAlignment="1">
      <alignment horizontal="center" vertical="center"/>
    </xf>
    <xf numFmtId="0" fontId="5" fillId="35" borderId="53" xfId="0" applyFont="1" applyFill="1" applyBorder="1" applyAlignment="1">
      <alignment horizontal="center" vertical="center"/>
    </xf>
    <xf numFmtId="0" fontId="0" fillId="35" borderId="60" xfId="0" applyFill="1" applyBorder="1" applyAlignment="1">
      <alignment horizontal="center" vertical="center"/>
    </xf>
    <xf numFmtId="0" fontId="5" fillId="35" borderId="50" xfId="0" applyFont="1" applyFill="1" applyBorder="1" applyAlignment="1">
      <alignment horizontal="center" vertical="center"/>
    </xf>
    <xf numFmtId="0" fontId="5" fillId="35" borderId="59" xfId="0" applyFont="1" applyFill="1" applyBorder="1" applyAlignment="1">
      <alignment horizontal="center" vertical="center"/>
    </xf>
    <xf numFmtId="0" fontId="0" fillId="35" borderId="71" xfId="0" applyFill="1" applyBorder="1" applyAlignment="1">
      <alignment horizontal="center" vertical="center"/>
    </xf>
    <xf numFmtId="0" fontId="0" fillId="39" borderId="0" xfId="0" applyFont="1" applyFill="1" applyBorder="1" applyAlignment="1">
      <alignment horizontal="center" vertical="center" wrapText="1"/>
    </xf>
    <xf numFmtId="0" fontId="0" fillId="39" borderId="0" xfId="0" applyFill="1" applyBorder="1" applyAlignment="1">
      <alignment horizontal="right" vertical="center"/>
    </xf>
    <xf numFmtId="0" fontId="5" fillId="43" borderId="0" xfId="0" applyFont="1" applyFill="1" applyAlignment="1">
      <alignment horizontal="left"/>
    </xf>
    <xf numFmtId="0" fontId="0" fillId="39" borderId="72" xfId="0" applyFont="1" applyFill="1" applyBorder="1" applyAlignment="1">
      <alignment horizontal="left" vertical="top" wrapText="1"/>
    </xf>
    <xf numFmtId="0" fontId="0" fillId="39" borderId="0" xfId="0" applyFont="1" applyFill="1" applyBorder="1" applyAlignment="1">
      <alignment horizontal="left" vertical="top" wrapText="1"/>
    </xf>
    <xf numFmtId="0" fontId="0" fillId="39" borderId="0" xfId="0" applyFont="1" applyFill="1" applyAlignment="1">
      <alignment/>
    </xf>
    <xf numFmtId="0" fontId="0" fillId="39" borderId="0" xfId="0" applyFont="1" applyFill="1" applyAlignment="1">
      <alignment/>
    </xf>
    <xf numFmtId="0" fontId="0" fillId="0" borderId="27" xfId="0" applyBorder="1" applyAlignment="1">
      <alignment horizontal="left"/>
    </xf>
    <xf numFmtId="0" fontId="0" fillId="0" borderId="0" xfId="0" applyBorder="1" applyAlignment="1">
      <alignment horizontal="left"/>
    </xf>
    <xf numFmtId="0" fontId="5" fillId="43" borderId="0" xfId="0" applyFont="1" applyFill="1" applyBorder="1" applyAlignment="1">
      <alignment horizontal="left"/>
    </xf>
    <xf numFmtId="0" fontId="5" fillId="43" borderId="28" xfId="0" applyFont="1" applyFill="1" applyBorder="1" applyAlignment="1">
      <alignment horizontal="left"/>
    </xf>
    <xf numFmtId="0" fontId="16" fillId="38" borderId="73" xfId="0" applyFont="1" applyFill="1" applyBorder="1" applyAlignment="1">
      <alignment/>
    </xf>
    <xf numFmtId="0" fontId="0" fillId="0" borderId="25" xfId="0" applyBorder="1" applyAlignment="1">
      <alignment/>
    </xf>
    <xf numFmtId="49" fontId="0" fillId="39" borderId="57" xfId="0" applyNumberFormat="1" applyFont="1" applyFill="1" applyBorder="1" applyAlignment="1">
      <alignment vertical="center" wrapText="1"/>
    </xf>
    <xf numFmtId="49" fontId="0" fillId="39" borderId="0" xfId="0" applyNumberFormat="1" applyFont="1" applyFill="1" applyBorder="1" applyAlignment="1">
      <alignment vertical="center" wrapText="1"/>
    </xf>
    <xf numFmtId="49" fontId="0" fillId="39" borderId="74" xfId="0" applyNumberFormat="1" applyFont="1" applyFill="1" applyBorder="1" applyAlignment="1">
      <alignment vertical="center" wrapText="1"/>
    </xf>
    <xf numFmtId="0" fontId="4" fillId="39" borderId="64" xfId="0" applyFont="1" applyFill="1" applyBorder="1" applyAlignment="1">
      <alignment horizontal="left"/>
    </xf>
    <xf numFmtId="0" fontId="4" fillId="39" borderId="35" xfId="0" applyFont="1" applyFill="1" applyBorder="1" applyAlignment="1">
      <alignment horizontal="left"/>
    </xf>
    <xf numFmtId="0" fontId="0" fillId="39" borderId="65" xfId="0" applyFill="1" applyBorder="1" applyAlignment="1">
      <alignment horizontal="left"/>
    </xf>
    <xf numFmtId="0" fontId="0" fillId="39" borderId="60" xfId="0" applyFill="1" applyBorder="1" applyAlignment="1">
      <alignment horizontal="left"/>
    </xf>
    <xf numFmtId="0" fontId="0" fillId="39" borderId="75" xfId="0" applyFill="1" applyBorder="1" applyAlignment="1">
      <alignment horizontal="left"/>
    </xf>
    <xf numFmtId="0" fontId="0" fillId="39" borderId="71" xfId="0" applyFill="1" applyBorder="1" applyAlignment="1">
      <alignment horizontal="left"/>
    </xf>
    <xf numFmtId="0" fontId="0" fillId="0" borderId="0" xfId="0" applyFont="1" applyAlignment="1">
      <alignment horizontal="center"/>
    </xf>
    <xf numFmtId="0" fontId="0" fillId="39" borderId="44" xfId="0" applyFont="1" applyFill="1" applyBorder="1" applyAlignment="1">
      <alignment horizontal="center" vertical="center" wrapText="1"/>
    </xf>
    <xf numFmtId="0" fontId="0" fillId="39" borderId="76" xfId="0" applyFont="1" applyFill="1" applyBorder="1" applyAlignment="1">
      <alignment horizontal="center" vertical="center" wrapText="1"/>
    </xf>
    <xf numFmtId="0" fontId="0" fillId="39" borderId="77" xfId="0" applyFont="1" applyFill="1" applyBorder="1" applyAlignment="1">
      <alignment horizontal="center" vertical="center" wrapText="1"/>
    </xf>
    <xf numFmtId="0" fontId="0" fillId="39" borderId="10" xfId="0" applyFill="1" applyBorder="1" applyAlignment="1">
      <alignment horizontal="center" vertical="center"/>
    </xf>
    <xf numFmtId="0" fontId="0" fillId="39" borderId="0" xfId="0" applyFont="1" applyFill="1" applyAlignment="1">
      <alignment horizontal="left"/>
    </xf>
    <xf numFmtId="0" fontId="81" fillId="39" borderId="0" xfId="53" applyFill="1" applyAlignment="1" applyProtection="1">
      <alignment horizontal="left"/>
      <protection/>
    </xf>
    <xf numFmtId="0" fontId="0" fillId="39" borderId="0" xfId="0"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eCO2 Emissions Breakdown by Sector</a:t>
            </a:r>
          </a:p>
        </c:rich>
      </c:tx>
      <c:layout>
        <c:manualLayout>
          <c:xMode val="factor"/>
          <c:yMode val="factor"/>
          <c:x val="-0.00225"/>
          <c:y val="-0.0085"/>
        </c:manualLayout>
      </c:layout>
      <c:spPr>
        <a:noFill/>
        <a:ln w="3175">
          <a:noFill/>
        </a:ln>
      </c:spPr>
    </c:title>
    <c:view3D>
      <c:rotX val="15"/>
      <c:hPercent val="100"/>
      <c:rotY val="0"/>
      <c:depthPercent val="100"/>
      <c:rAngAx val="1"/>
    </c:view3D>
    <c:plotArea>
      <c:layout>
        <c:manualLayout>
          <c:xMode val="edge"/>
          <c:yMode val="edge"/>
          <c:x val="0.068"/>
          <c:y val="0.38875"/>
          <c:w val="0.5905"/>
          <c:h val="0.519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080"/>
              </a:solidFill>
              <a:ln w="3175">
                <a:noFill/>
              </a:ln>
            </c:spPr>
          </c:dPt>
          <c:dPt>
            <c:idx val="1"/>
            <c:spPr>
              <a:solidFill>
                <a:srgbClr val="9BBB59"/>
              </a:solidFill>
              <a:ln w="3175">
                <a:noFill/>
              </a:ln>
            </c:spPr>
          </c:dPt>
          <c:dPt>
            <c:idx val="2"/>
            <c:spPr>
              <a:solidFill>
                <a:srgbClr val="FFFF00"/>
              </a:solidFill>
              <a:ln w="3175">
                <a:noFill/>
              </a:ln>
            </c:spPr>
          </c:dPt>
          <c:dPt>
            <c:idx val="3"/>
            <c:spPr>
              <a:solidFill>
                <a:srgbClr val="8064A2"/>
              </a:solidFill>
              <a:ln w="3175">
                <a:noFill/>
              </a:ln>
            </c:spPr>
          </c:dPt>
          <c:dPt>
            <c:idx val="4"/>
            <c:spPr>
              <a:solidFill>
                <a:srgbClr val="4BACC6"/>
              </a:solidFill>
              <a:ln w="3175">
                <a:noFill/>
              </a:ln>
            </c:spPr>
          </c:dPt>
          <c:dLbls>
            <c:numFmt formatCode="0%" sourceLinked="0"/>
            <c:showLegendKey val="0"/>
            <c:showVal val="0"/>
            <c:showBubbleSize val="0"/>
            <c:showCatName val="0"/>
            <c:showSerName val="0"/>
            <c:showLeaderLines val="0"/>
            <c:showPercent val="1"/>
          </c:dLbls>
          <c:cat>
            <c:strRef>
              <c:f>'Corporate Summary'!$B$9:$B$13</c:f>
              <c:strCache/>
            </c:strRef>
          </c:cat>
          <c:val>
            <c:numRef>
              <c:f>'Corporate Summary'!$E$9:$E$13</c:f>
              <c:numCache/>
            </c:numRef>
          </c:val>
        </c:ser>
      </c:pie3DChart>
      <c:spPr>
        <a:noFill/>
        <a:ln>
          <a:noFill/>
        </a:ln>
      </c:spPr>
    </c:plotArea>
    <c:legend>
      <c:legendPos val="r"/>
      <c:layout>
        <c:manualLayout>
          <c:xMode val="edge"/>
          <c:yMode val="edge"/>
          <c:x val="0.73625"/>
          <c:y val="0.40175"/>
          <c:w val="0.25275"/>
          <c:h val="0.483"/>
        </c:manualLayout>
      </c:layout>
      <c:overlay val="0"/>
      <c:spPr>
        <a:noFill/>
        <a:ln w="3175">
          <a:noFill/>
        </a:ln>
      </c:spPr>
      <c:txPr>
        <a:bodyPr vert="horz" rot="0"/>
        <a:lstStyle/>
        <a:p>
          <a:pPr>
            <a:defRPr lang="en-US" cap="none" sz="92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Community Energy by Source</a:t>
            </a:r>
          </a:p>
        </c:rich>
      </c:tx>
      <c:layout>
        <c:manualLayout>
          <c:xMode val="factor"/>
          <c:yMode val="factor"/>
          <c:x val="-0.00225"/>
          <c:y val="-0.01225"/>
        </c:manualLayout>
      </c:layout>
      <c:spPr>
        <a:noFill/>
        <a:ln w="3175">
          <a:noFill/>
        </a:ln>
      </c:spPr>
    </c:title>
    <c:view3D>
      <c:rotX val="15"/>
      <c:hPercent val="100"/>
      <c:rotY val="0"/>
      <c:depthPercent val="100"/>
      <c:rAngAx val="1"/>
    </c:view3D>
    <c:plotArea>
      <c:layout>
        <c:manualLayout>
          <c:xMode val="edge"/>
          <c:yMode val="edge"/>
          <c:x val="0.0705"/>
          <c:y val="0.194"/>
          <c:w val="0.638"/>
          <c:h val="0.715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noFill/>
              </a:ln>
            </c:spPr>
          </c:dPt>
          <c:dPt>
            <c:idx val="1"/>
            <c:spPr>
              <a:solidFill>
                <a:srgbClr val="9BBB59"/>
              </a:solidFill>
              <a:ln w="3175">
                <a:noFill/>
              </a:ln>
            </c:spPr>
          </c:dPt>
          <c:dPt>
            <c:idx val="2"/>
            <c:spPr>
              <a:solidFill>
                <a:srgbClr val="0070C0"/>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6"/>
              <c:layout>
                <c:manualLayout>
                  <c:x val="0"/>
                  <c:y val="0"/>
                </c:manualLayout>
              </c:layout>
              <c:txPr>
                <a:bodyPr vert="horz" rot="0" anchor="ctr"/>
                <a:lstStyle/>
                <a:p>
                  <a:pPr algn="ctr">
                    <a:defRPr lang="en-US" cap="none" sz="1000" b="0" i="0" u="none" baseline="0">
                      <a:solidFill>
                        <a:srgbClr val="000000"/>
                      </a:solidFill>
                    </a:defRPr>
                  </a:pPr>
                </a:p>
              </c:txPr>
              <c:numFmt formatCode="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 sourceLinked="0"/>
              <c:spPr>
                <a:noFill/>
                <a:ln w="3175">
                  <a:noFill/>
                </a:ln>
              </c:spPr>
              <c:showLegendKey val="0"/>
              <c:showVal val="0"/>
              <c:showBubbleSize val="0"/>
              <c:showCatName val="0"/>
              <c:showSerName val="0"/>
              <c:showPercent val="1"/>
            </c:dLbl>
            <c:numFmt formatCode="0%" sourceLinked="0"/>
            <c:showLegendKey val="0"/>
            <c:showVal val="0"/>
            <c:showBubbleSize val="0"/>
            <c:showCatName val="0"/>
            <c:showSerName val="0"/>
            <c:showLeaderLines val="0"/>
            <c:showPercent val="1"/>
          </c:dLbls>
          <c:cat>
            <c:strRef>
              <c:f>'Community Summary'!$B$22:$B$28</c:f>
              <c:strCache/>
            </c:strRef>
          </c:cat>
          <c:val>
            <c:numRef>
              <c:f>'Community Summary'!$D$22:$D$28</c:f>
              <c:numCache/>
            </c:numRef>
          </c:val>
        </c:ser>
      </c:pie3DChart>
      <c:spPr>
        <a:noFill/>
        <a:ln>
          <a:noFill/>
        </a:ln>
      </c:spPr>
    </c:plotArea>
    <c:legend>
      <c:legendPos val="r"/>
      <c:layout>
        <c:manualLayout>
          <c:xMode val="edge"/>
          <c:yMode val="edge"/>
          <c:x val="0.74725"/>
          <c:y val="0.14425"/>
          <c:w val="0.23775"/>
          <c:h val="0.83125"/>
        </c:manualLayout>
      </c:layout>
      <c:overlay val="0"/>
      <c:spPr>
        <a:noFill/>
        <a:ln w="3175">
          <a:noFill/>
        </a:ln>
      </c:spPr>
      <c:txPr>
        <a:bodyPr vert="horz" rot="0"/>
        <a:lstStyle/>
        <a:p>
          <a:pPr>
            <a:defRPr lang="en-US" cap="none" sz="92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Community Emissions Forecast</a:t>
            </a:r>
          </a:p>
        </c:rich>
      </c:tx>
      <c:layout>
        <c:manualLayout>
          <c:xMode val="factor"/>
          <c:yMode val="factor"/>
          <c:x val="0.014"/>
          <c:y val="-0.029"/>
        </c:manualLayout>
      </c:layout>
      <c:spPr>
        <a:noFill/>
        <a:ln w="3175">
          <a:noFill/>
        </a:ln>
      </c:spPr>
    </c:title>
    <c:plotArea>
      <c:layout>
        <c:manualLayout>
          <c:xMode val="edge"/>
          <c:yMode val="edge"/>
          <c:x val="0.08225"/>
          <c:y val="0.11125"/>
          <c:w val="0.697"/>
          <c:h val="0.84025"/>
        </c:manualLayout>
      </c:layout>
      <c:lineChart>
        <c:grouping val="standard"/>
        <c:varyColors val="0"/>
        <c:ser>
          <c:idx val="0"/>
          <c:order val="0"/>
          <c:tx>
            <c:strRef>
              <c:f>'Comm BAU'!$B$47</c:f>
              <c:strCache>
                <c:ptCount val="1"/>
                <c:pt idx="0">
                  <c:v>BAU</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'Comm BAU'!$C$47:$C$49</c:f>
              <c:numCache/>
            </c:numRef>
          </c:cat>
          <c:val>
            <c:numRef>
              <c:f>'Comm BAU'!$D$47:$D$49</c:f>
              <c:numCache/>
            </c:numRef>
          </c:val>
          <c:smooth val="0"/>
        </c:ser>
        <c:ser>
          <c:idx val="1"/>
          <c:order val="1"/>
          <c:tx>
            <c:strRef>
              <c:f>'Comm BAU'!$B$50</c:f>
              <c:strCache>
                <c:ptCount val="1"/>
                <c:pt idx="0">
                  <c:v>Baseline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'Comm BAU'!$C$47:$C$49</c:f>
              <c:numCache/>
            </c:numRef>
          </c:cat>
          <c:val>
            <c:numRef>
              <c:f>'Comm BAU'!$D$50:$D$52</c:f>
              <c:numCache/>
            </c:numRef>
          </c:val>
          <c:smooth val="0"/>
        </c:ser>
        <c:ser>
          <c:idx val="2"/>
          <c:order val="2"/>
          <c:tx>
            <c:strRef>
              <c:f>'Comm BAU'!$B$53</c:f>
              <c:strCache>
                <c:ptCount val="1"/>
                <c:pt idx="0">
                  <c:v>0% Reduction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'Comm BAU'!$C$47:$C$49</c:f>
              <c:numCache/>
            </c:numRef>
          </c:cat>
          <c:val>
            <c:numRef>
              <c:f>'Comm BAU'!$D$53:$D$55</c:f>
              <c:numCache/>
            </c:numRef>
          </c:val>
          <c:smooth val="0"/>
        </c:ser>
        <c:marker val="1"/>
        <c:axId val="1233719"/>
        <c:axId val="11103472"/>
      </c:lineChart>
      <c:catAx>
        <c:axId val="1233719"/>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0575"/>
              <c:y val="-0.005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103472"/>
        <c:crosses val="autoZero"/>
        <c:auto val="1"/>
        <c:lblOffset val="100"/>
        <c:tickLblSkip val="1"/>
        <c:noMultiLvlLbl val="0"/>
      </c:catAx>
      <c:valAx>
        <c:axId val="11103472"/>
        <c:scaling>
          <c:orientation val="minMax"/>
        </c:scaling>
        <c:axPos val="l"/>
        <c:title>
          <c:tx>
            <c:rich>
              <a:bodyPr vert="horz" rot="-5400000" anchor="ctr"/>
              <a:lstStyle/>
              <a:p>
                <a:pPr algn="ctr">
                  <a:defRPr/>
                </a:pPr>
                <a:r>
                  <a:rPr lang="en-US" cap="none" sz="1000" b="1" i="0" u="none" baseline="0">
                    <a:solidFill>
                      <a:srgbClr val="000000"/>
                    </a:solidFill>
                  </a:rPr>
                  <a:t>Tonnes CO2e</a:t>
                </a:r>
              </a:p>
            </c:rich>
          </c:tx>
          <c:layout>
            <c:manualLayout>
              <c:xMode val="factor"/>
              <c:yMode val="factor"/>
              <c:x val="-0.0315"/>
              <c:y val="0.005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33719"/>
        <c:crossesAt val="1"/>
        <c:crossBetween val="midCat"/>
        <c:dispUnits/>
      </c:valAx>
      <c:spPr>
        <a:noFill/>
        <a:ln>
          <a:noFill/>
        </a:ln>
      </c:spPr>
    </c:plotArea>
    <c:legend>
      <c:legendPos val="r"/>
      <c:layout>
        <c:manualLayout>
          <c:xMode val="edge"/>
          <c:yMode val="edge"/>
          <c:x val="0.7885"/>
          <c:y val="0.1485"/>
          <c:w val="0.2015"/>
          <c:h val="0.513"/>
        </c:manualLayout>
      </c:layout>
      <c:overlay val="0"/>
      <c:spPr>
        <a:noFill/>
        <a:ln w="3175">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Community Emissions Forecast by Sector</a:t>
            </a:r>
          </a:p>
        </c:rich>
      </c:tx>
      <c:layout>
        <c:manualLayout>
          <c:xMode val="factor"/>
          <c:yMode val="factor"/>
          <c:x val="-0.00825"/>
          <c:y val="-0.0155"/>
        </c:manualLayout>
      </c:layout>
      <c:spPr>
        <a:noFill/>
        <a:ln w="3175">
          <a:noFill/>
        </a:ln>
      </c:spPr>
    </c:title>
    <c:plotArea>
      <c:layout>
        <c:manualLayout>
          <c:xMode val="edge"/>
          <c:yMode val="edge"/>
          <c:x val="0.07175"/>
          <c:y val="0.11025"/>
          <c:w val="0.73575"/>
          <c:h val="0.85725"/>
        </c:manualLayout>
      </c:layout>
      <c:barChart>
        <c:barDir val="col"/>
        <c:grouping val="clustered"/>
        <c:varyColors val="0"/>
        <c:ser>
          <c:idx val="0"/>
          <c:order val="0"/>
          <c:tx>
            <c:strRef>
              <c:f>'Comm BAU'!$C$7</c:f>
              <c:strCache>
                <c:ptCount val="1"/>
                <c:pt idx="0">
                  <c:v>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'Comm BAU'!$H$47:$H$51</c:f>
              <c:strCache/>
            </c:strRef>
          </c:cat>
          <c:val>
            <c:numRef>
              <c:f>'Comm BAU'!$I$47:$I$51</c:f>
              <c:numCache/>
            </c:numRef>
          </c:val>
        </c:ser>
        <c:ser>
          <c:idx val="1"/>
          <c:order val="1"/>
          <c:tx>
            <c:strRef>
              <c:f>'Comm BAU'!$C$8</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'Comm BAU'!$H$47:$H$51</c:f>
              <c:strCache/>
            </c:strRef>
          </c:cat>
          <c:val>
            <c:numRef>
              <c:f>'Comm BAU'!$J$47:$J$51</c:f>
              <c:numCache/>
            </c:numRef>
          </c:val>
        </c:ser>
        <c:axId val="32822385"/>
        <c:axId val="26966010"/>
      </c:barChart>
      <c:catAx>
        <c:axId val="32822385"/>
        <c:scaling>
          <c:orientation val="minMax"/>
        </c:scaling>
        <c:axPos val="b"/>
        <c:title>
          <c:tx>
            <c:rich>
              <a:bodyPr vert="horz" rot="0" anchor="ctr"/>
              <a:lstStyle/>
              <a:p>
                <a:pPr algn="ctr">
                  <a:defRPr/>
                </a:pPr>
                <a:r>
                  <a:rPr lang="en-US" cap="none" sz="1000" b="1" i="0" u="none" baseline="0">
                    <a:solidFill>
                      <a:srgbClr val="000000"/>
                    </a:solidFill>
                  </a:rPr>
                  <a:t>Community  Sector</a:t>
                </a:r>
              </a:p>
            </c:rich>
          </c:tx>
          <c:layout>
            <c:manualLayout>
              <c:xMode val="factor"/>
              <c:yMode val="factor"/>
              <c:x val="-0.04775"/>
              <c:y val="0.018"/>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6966010"/>
        <c:crosses val="autoZero"/>
        <c:auto val="1"/>
        <c:lblOffset val="100"/>
        <c:tickLblSkip val="1"/>
        <c:noMultiLvlLbl val="0"/>
      </c:catAx>
      <c:valAx>
        <c:axId val="26966010"/>
        <c:scaling>
          <c:orientation val="minMax"/>
        </c:scaling>
        <c:axPos val="l"/>
        <c:title>
          <c:tx>
            <c:rich>
              <a:bodyPr vert="horz" rot="-5400000" anchor="ctr"/>
              <a:lstStyle/>
              <a:p>
                <a:pPr algn="ctr">
                  <a:defRPr/>
                </a:pPr>
                <a:r>
                  <a:rPr lang="en-US" cap="none" sz="1000" b="1" i="0" u="none" baseline="0">
                    <a:solidFill>
                      <a:srgbClr val="000000"/>
                    </a:solidFill>
                  </a:rPr>
                  <a:t>Tonnes CO2e</a:t>
                </a:r>
              </a:p>
            </c:rich>
          </c:tx>
          <c:layout>
            <c:manualLayout>
              <c:xMode val="factor"/>
              <c:yMode val="factor"/>
              <c:x val="-0.00075"/>
              <c:y val="-0.001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2822385"/>
        <c:crossesAt val="1"/>
        <c:crossBetween val="between"/>
        <c:dispUnits/>
      </c:valAx>
      <c:spPr>
        <a:solidFill>
          <a:srgbClr val="FFFFFF"/>
        </a:solidFill>
        <a:ln w="3175">
          <a:noFill/>
        </a:ln>
      </c:spPr>
    </c:plotArea>
    <c:legend>
      <c:legendPos val="r"/>
      <c:layout>
        <c:manualLayout>
          <c:xMode val="edge"/>
          <c:yMode val="edge"/>
          <c:x val="0.86275"/>
          <c:y val="0.322"/>
          <c:w val="0.1165"/>
          <c:h val="0.2105"/>
        </c:manualLayout>
      </c:layout>
      <c:overlay val="0"/>
      <c:spPr>
        <a:noFill/>
        <a:ln w="3175">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eCO2 Emissions by Source</a:t>
            </a:r>
          </a:p>
        </c:rich>
      </c:tx>
      <c:layout>
        <c:manualLayout>
          <c:xMode val="factor"/>
          <c:yMode val="factor"/>
          <c:x val="-0.00225"/>
          <c:y val="-0.01"/>
        </c:manualLayout>
      </c:layout>
      <c:spPr>
        <a:noFill/>
        <a:ln w="3175">
          <a:noFill/>
        </a:ln>
      </c:spPr>
    </c:title>
    <c:view3D>
      <c:rotX val="15"/>
      <c:hPercent val="100"/>
      <c:rotY val="0"/>
      <c:depthPercent val="100"/>
      <c:rAngAx val="1"/>
    </c:view3D>
    <c:plotArea>
      <c:layout>
        <c:manualLayout>
          <c:xMode val="edge"/>
          <c:yMode val="edge"/>
          <c:x val="0.067"/>
          <c:y val="0.31675"/>
          <c:w val="0.5755"/>
          <c:h val="0.597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noFill/>
              </a:ln>
            </c:spPr>
          </c:dPt>
          <c:dPt>
            <c:idx val="1"/>
            <c:spPr>
              <a:solidFill>
                <a:srgbClr val="9BBB59"/>
              </a:solidFill>
              <a:ln w="3175">
                <a:noFill/>
              </a:ln>
            </c:spPr>
          </c:dPt>
          <c:dPt>
            <c:idx val="2"/>
            <c:spPr>
              <a:solidFill>
                <a:srgbClr val="7030A0"/>
              </a:solidFill>
              <a:ln w="3175">
                <a:noFill/>
              </a:ln>
            </c:spPr>
          </c:dPt>
          <c:dPt>
            <c:idx val="3"/>
            <c:spPr>
              <a:solidFill>
                <a:srgbClr val="948A54"/>
              </a:solidFill>
              <a:ln w="3175">
                <a:noFill/>
              </a:ln>
            </c:spPr>
          </c:dPt>
          <c:dPt>
            <c:idx val="4"/>
            <c:spPr>
              <a:solidFill>
                <a:srgbClr val="0070C0"/>
              </a:solidFill>
              <a:ln w="3175">
                <a:noFill/>
              </a:ln>
            </c:spPr>
          </c:dPt>
          <c:dPt>
            <c:idx val="5"/>
            <c:spPr>
              <a:solidFill>
                <a:srgbClr val="C00000"/>
              </a:solidFill>
              <a:ln w="3175">
                <a:noFill/>
              </a:ln>
            </c:spPr>
          </c:dPt>
          <c:dPt>
            <c:idx val="6"/>
            <c:spPr>
              <a:solidFill>
                <a:srgbClr val="F79646"/>
              </a:solidFill>
              <a:ln w="3175">
                <a:noFill/>
              </a:ln>
            </c:spPr>
          </c:dPt>
          <c:dPt>
            <c:idx val="7"/>
            <c:spPr>
              <a:solidFill>
                <a:srgbClr val="008080"/>
              </a:solidFill>
              <a:ln w="3175">
                <a:noFill/>
              </a:ln>
            </c:spPr>
          </c:dPt>
          <c:dPt>
            <c:idx val="8"/>
            <c:spPr>
              <a:solidFill>
                <a:srgbClr val="00B0F0"/>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Lbls>
            <c:numFmt formatCode="0%" sourceLinked="0"/>
            <c:showLegendKey val="0"/>
            <c:showVal val="0"/>
            <c:showBubbleSize val="0"/>
            <c:showCatName val="0"/>
            <c:showSerName val="0"/>
            <c:showLeaderLines val="0"/>
            <c:showPercent val="1"/>
          </c:dLbls>
          <c:cat>
            <c:strRef>
              <c:f>'Corporate Summary'!$B$22:$B$34</c:f>
              <c:strCache/>
            </c:strRef>
          </c:cat>
          <c:val>
            <c:numRef>
              <c:f>'Corporate Summary'!$F$22:$F$34</c:f>
              <c:numCache/>
            </c:numRef>
          </c:val>
        </c:ser>
      </c:pie3DChart>
      <c:spPr>
        <a:noFill/>
        <a:ln>
          <a:noFill/>
        </a:ln>
      </c:spPr>
    </c:plotArea>
    <c:legend>
      <c:legendPos val="r"/>
      <c:layout>
        <c:manualLayout>
          <c:xMode val="edge"/>
          <c:yMode val="edge"/>
          <c:x val="0.7655"/>
          <c:y val="0.15675"/>
          <c:w val="0.2235"/>
          <c:h val="0.8"/>
        </c:manualLayout>
      </c:layout>
      <c:overlay val="0"/>
      <c:spPr>
        <a:noFill/>
        <a:ln w="3175">
          <a:noFill/>
        </a:ln>
      </c:spPr>
      <c:txPr>
        <a:bodyPr vert="horz" rot="0"/>
        <a:lstStyle/>
        <a:p>
          <a:pPr>
            <a:defRPr lang="en-US" cap="none" sz="92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Energy Breakdown by Sector</a:t>
            </a:r>
          </a:p>
        </c:rich>
      </c:tx>
      <c:layout>
        <c:manualLayout>
          <c:xMode val="factor"/>
          <c:yMode val="factor"/>
          <c:x val="-0.00225"/>
          <c:y val="-0.0085"/>
        </c:manualLayout>
      </c:layout>
      <c:spPr>
        <a:noFill/>
        <a:ln w="3175">
          <a:noFill/>
        </a:ln>
      </c:spPr>
    </c:title>
    <c:view3D>
      <c:rotX val="15"/>
      <c:hPercent val="100"/>
      <c:rotY val="0"/>
      <c:depthPercent val="100"/>
      <c:rAngAx val="1"/>
    </c:view3D>
    <c:plotArea>
      <c:layout>
        <c:manualLayout>
          <c:xMode val="edge"/>
          <c:yMode val="edge"/>
          <c:x val="0.068"/>
          <c:y val="0.38875"/>
          <c:w val="0.5905"/>
          <c:h val="0.519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080"/>
              </a:solidFill>
              <a:ln w="3175">
                <a:noFill/>
              </a:ln>
            </c:spPr>
          </c:dPt>
          <c:dPt>
            <c:idx val="1"/>
            <c:spPr>
              <a:solidFill>
                <a:srgbClr val="9BBB59"/>
              </a:solidFill>
              <a:ln w="3175">
                <a:noFill/>
              </a:ln>
            </c:spPr>
          </c:dPt>
          <c:dPt>
            <c:idx val="2"/>
            <c:spPr>
              <a:solidFill>
                <a:srgbClr val="FFFF00"/>
              </a:solidFill>
              <a:ln w="3175">
                <a:noFill/>
              </a:ln>
            </c:spPr>
          </c:dPt>
          <c:dPt>
            <c:idx val="3"/>
            <c:spPr>
              <a:solidFill>
                <a:srgbClr val="8064A2"/>
              </a:solidFill>
              <a:ln w="3175">
                <a:noFill/>
              </a:ln>
            </c:spPr>
          </c:dPt>
          <c:dLbls>
            <c:numFmt formatCode="0%" sourceLinked="0"/>
            <c:showLegendKey val="0"/>
            <c:showVal val="0"/>
            <c:showBubbleSize val="0"/>
            <c:showCatName val="0"/>
            <c:showSerName val="0"/>
            <c:showLeaderLines val="0"/>
            <c:showPercent val="1"/>
          </c:dLbls>
          <c:cat>
            <c:strRef>
              <c:f>'Corporate Summary'!$B$9:$B$12</c:f>
              <c:strCache/>
            </c:strRef>
          </c:cat>
          <c:val>
            <c:numRef>
              <c:f>'Corporate Summary'!$D$9:$D$12</c:f>
              <c:numCache/>
            </c:numRef>
          </c:val>
        </c:ser>
      </c:pie3DChart>
      <c:spPr>
        <a:noFill/>
        <a:ln>
          <a:noFill/>
        </a:ln>
      </c:spPr>
    </c:plotArea>
    <c:legend>
      <c:legendPos val="r"/>
      <c:layout>
        <c:manualLayout>
          <c:xMode val="edge"/>
          <c:yMode val="edge"/>
          <c:x val="0.73625"/>
          <c:y val="0.453"/>
          <c:w val="0.25275"/>
          <c:h val="0.389"/>
        </c:manualLayout>
      </c:layout>
      <c:overlay val="0"/>
      <c:spPr>
        <a:noFill/>
        <a:ln w="3175">
          <a:noFill/>
        </a:ln>
      </c:spPr>
      <c:txPr>
        <a:bodyPr vert="horz" rot="0"/>
        <a:lstStyle/>
        <a:p>
          <a:pPr>
            <a:defRPr lang="en-US" cap="none" sz="92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Energy by Source</a:t>
            </a:r>
          </a:p>
        </c:rich>
      </c:tx>
      <c:layout>
        <c:manualLayout>
          <c:xMode val="factor"/>
          <c:yMode val="factor"/>
          <c:x val="-0.0045"/>
          <c:y val="-0.01"/>
        </c:manualLayout>
      </c:layout>
      <c:spPr>
        <a:noFill/>
        <a:ln w="3175">
          <a:noFill/>
        </a:ln>
      </c:spPr>
    </c:title>
    <c:view3D>
      <c:rotX val="15"/>
      <c:hPercent val="100"/>
      <c:rotY val="0"/>
      <c:depthPercent val="100"/>
      <c:rAngAx val="1"/>
    </c:view3D>
    <c:plotArea>
      <c:layout>
        <c:manualLayout>
          <c:xMode val="edge"/>
          <c:yMode val="edge"/>
          <c:x val="0.067"/>
          <c:y val="0.22525"/>
          <c:w val="0.5755"/>
          <c:h val="0.683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noFill/>
              </a:ln>
            </c:spPr>
          </c:dPt>
          <c:dPt>
            <c:idx val="1"/>
            <c:spPr>
              <a:solidFill>
                <a:srgbClr val="9BBB59"/>
              </a:solidFill>
              <a:ln w="3175">
                <a:noFill/>
              </a:ln>
            </c:spPr>
          </c:dPt>
          <c:dPt>
            <c:idx val="2"/>
            <c:spPr>
              <a:solidFill>
                <a:srgbClr val="7030A0"/>
              </a:solidFill>
              <a:ln w="3175">
                <a:noFill/>
              </a:ln>
            </c:spPr>
          </c:dPt>
          <c:dPt>
            <c:idx val="3"/>
            <c:spPr>
              <a:solidFill>
                <a:srgbClr val="948A54"/>
              </a:solidFill>
              <a:ln w="3175">
                <a:noFill/>
              </a:ln>
            </c:spPr>
          </c:dPt>
          <c:dPt>
            <c:idx val="4"/>
            <c:spPr>
              <a:solidFill>
                <a:srgbClr val="0070C0"/>
              </a:solidFill>
              <a:ln w="3175">
                <a:noFill/>
              </a:ln>
            </c:spPr>
          </c:dPt>
          <c:dPt>
            <c:idx val="5"/>
            <c:spPr>
              <a:solidFill>
                <a:srgbClr val="C00000"/>
              </a:solidFill>
              <a:ln w="3175">
                <a:noFill/>
              </a:ln>
            </c:spPr>
          </c:dPt>
          <c:dPt>
            <c:idx val="6"/>
            <c:spPr>
              <a:solidFill>
                <a:srgbClr val="F79646"/>
              </a:solidFill>
              <a:ln w="3175">
                <a:noFill/>
              </a:ln>
            </c:spPr>
          </c:dPt>
          <c:dPt>
            <c:idx val="7"/>
            <c:spPr>
              <a:solidFill>
                <a:srgbClr val="008080"/>
              </a:solidFill>
              <a:ln w="3175">
                <a:noFill/>
              </a:ln>
            </c:spPr>
          </c:dPt>
          <c:dPt>
            <c:idx val="8"/>
            <c:spPr>
              <a:solidFill>
                <a:srgbClr val="00B0F0"/>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Lbls>
            <c:numFmt formatCode="0%" sourceLinked="0"/>
            <c:showLegendKey val="0"/>
            <c:showVal val="0"/>
            <c:showBubbleSize val="0"/>
            <c:showCatName val="0"/>
            <c:showSerName val="0"/>
            <c:showLeaderLines val="0"/>
            <c:showPercent val="1"/>
          </c:dLbls>
          <c:cat>
            <c:strRef>
              <c:f>'Corporate Summary'!$B$22:$B$34</c:f>
              <c:strCache/>
            </c:strRef>
          </c:cat>
          <c:val>
            <c:numRef>
              <c:f>'Corporate Summary'!$D$22:$D$34</c:f>
              <c:numCache/>
            </c:numRef>
          </c:val>
        </c:ser>
      </c:pie3DChart>
      <c:spPr>
        <a:noFill/>
        <a:ln>
          <a:noFill/>
        </a:ln>
      </c:spPr>
    </c:plotArea>
    <c:legend>
      <c:legendPos val="r"/>
      <c:layout>
        <c:manualLayout>
          <c:xMode val="edge"/>
          <c:yMode val="edge"/>
          <c:x val="0.7655"/>
          <c:y val="0.15675"/>
          <c:w val="0.2235"/>
          <c:h val="0.8"/>
        </c:manualLayout>
      </c:layout>
      <c:overlay val="0"/>
      <c:spPr>
        <a:noFill/>
        <a:ln w="3175">
          <a:noFill/>
        </a:ln>
      </c:spPr>
      <c:txPr>
        <a:bodyPr vert="horz" rot="0"/>
        <a:lstStyle/>
        <a:p>
          <a:pPr>
            <a:defRPr lang="en-US" cap="none" sz="92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Emissions Forecast</a:t>
            </a:r>
          </a:p>
        </c:rich>
      </c:tx>
      <c:layout>
        <c:manualLayout>
          <c:xMode val="factor"/>
          <c:yMode val="factor"/>
          <c:x val="0.017"/>
          <c:y val="-0.03075"/>
        </c:manualLayout>
      </c:layout>
      <c:spPr>
        <a:noFill/>
        <a:ln w="3175">
          <a:noFill/>
        </a:ln>
      </c:spPr>
    </c:title>
    <c:plotArea>
      <c:layout>
        <c:manualLayout>
          <c:xMode val="edge"/>
          <c:yMode val="edge"/>
          <c:x val="0.083"/>
          <c:y val="0.1115"/>
          <c:w val="0.6965"/>
          <c:h val="0.83975"/>
        </c:manualLayout>
      </c:layout>
      <c:lineChart>
        <c:grouping val="standard"/>
        <c:varyColors val="0"/>
        <c:ser>
          <c:idx val="0"/>
          <c:order val="0"/>
          <c:tx>
            <c:strRef>
              <c:f>'Corp BAU'!$B$47</c:f>
              <c:strCache>
                <c:ptCount val="1"/>
                <c:pt idx="0">
                  <c:v>BAU</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'Corp BAU'!$C$47:$C$49</c:f>
              <c:numCache/>
            </c:numRef>
          </c:cat>
          <c:val>
            <c:numRef>
              <c:f>'Corp BAU'!$D$47:$D$49</c:f>
              <c:numCache/>
            </c:numRef>
          </c:val>
          <c:smooth val="0"/>
        </c:ser>
        <c:ser>
          <c:idx val="1"/>
          <c:order val="1"/>
          <c:tx>
            <c:strRef>
              <c:f>'Corp BAU'!$B$50</c:f>
              <c:strCache>
                <c:ptCount val="1"/>
                <c:pt idx="0">
                  <c:v>Baseline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'Corp BAU'!$C$47:$C$49</c:f>
              <c:numCache/>
            </c:numRef>
          </c:cat>
          <c:val>
            <c:numRef>
              <c:f>'Corp BAU'!$D$50:$D$52</c:f>
              <c:numCache/>
            </c:numRef>
          </c:val>
          <c:smooth val="0"/>
        </c:ser>
        <c:ser>
          <c:idx val="2"/>
          <c:order val="2"/>
          <c:tx>
            <c:strRef>
              <c:f>'Corp BAU'!$B$53</c:f>
              <c:strCache>
                <c:ptCount val="1"/>
                <c:pt idx="0">
                  <c:v>0% Reduction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'Corp BAU'!$C$47:$C$49</c:f>
              <c:numCache/>
            </c:numRef>
          </c:cat>
          <c:val>
            <c:numRef>
              <c:f>'Corp BAU'!$D$53:$D$55</c:f>
              <c:numCache/>
            </c:numRef>
          </c:val>
          <c:smooth val="0"/>
        </c:ser>
        <c:marker val="1"/>
        <c:axId val="14872355"/>
        <c:axId val="66742332"/>
      </c:lineChart>
      <c:catAx>
        <c:axId val="14872355"/>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04"/>
              <c:y val="-0.004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742332"/>
        <c:crosses val="autoZero"/>
        <c:auto val="1"/>
        <c:lblOffset val="100"/>
        <c:tickLblSkip val="1"/>
        <c:noMultiLvlLbl val="0"/>
      </c:catAx>
      <c:valAx>
        <c:axId val="66742332"/>
        <c:scaling>
          <c:orientation val="minMax"/>
        </c:scaling>
        <c:axPos val="l"/>
        <c:title>
          <c:tx>
            <c:rich>
              <a:bodyPr vert="horz" rot="-5400000" anchor="ctr"/>
              <a:lstStyle/>
              <a:p>
                <a:pPr algn="ctr">
                  <a:defRPr/>
                </a:pPr>
                <a:r>
                  <a:rPr lang="en-US" cap="none" sz="1000" b="1" i="0" u="none" baseline="0">
                    <a:solidFill>
                      <a:srgbClr val="000000"/>
                    </a:solidFill>
                  </a:rPr>
                  <a:t>Tonnes CO2e</a:t>
                </a:r>
              </a:p>
            </c:rich>
          </c:tx>
          <c:layout>
            <c:manualLayout>
              <c:xMode val="factor"/>
              <c:yMode val="factor"/>
              <c:x val="-0.0302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872355"/>
        <c:crossesAt val="1"/>
        <c:crossBetween val="midCat"/>
        <c:dispUnits/>
      </c:valAx>
      <c:spPr>
        <a:noFill/>
        <a:ln>
          <a:noFill/>
        </a:ln>
      </c:spPr>
    </c:plotArea>
    <c:legend>
      <c:legendPos val="r"/>
      <c:layout>
        <c:manualLayout>
          <c:xMode val="edge"/>
          <c:yMode val="edge"/>
          <c:x val="0.7885"/>
          <c:y val="0.14725"/>
          <c:w val="0.20075"/>
          <c:h val="0.51025"/>
        </c:manualLayout>
      </c:layout>
      <c:overlay val="0"/>
      <c:spPr>
        <a:noFill/>
        <a:ln w="3175">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Emissions Forecast by Sector</a:t>
            </a:r>
          </a:p>
        </c:rich>
      </c:tx>
      <c:layout>
        <c:manualLayout>
          <c:xMode val="factor"/>
          <c:yMode val="factor"/>
          <c:x val="-0.04575"/>
          <c:y val="-0.017"/>
        </c:manualLayout>
      </c:layout>
      <c:spPr>
        <a:noFill/>
        <a:ln w="3175">
          <a:noFill/>
        </a:ln>
      </c:spPr>
    </c:title>
    <c:plotArea>
      <c:layout>
        <c:manualLayout>
          <c:xMode val="edge"/>
          <c:yMode val="edge"/>
          <c:x val="0.05625"/>
          <c:y val="0.10475"/>
          <c:w val="0.80675"/>
          <c:h val="0.871"/>
        </c:manualLayout>
      </c:layout>
      <c:barChart>
        <c:barDir val="col"/>
        <c:grouping val="clustered"/>
        <c:varyColors val="0"/>
        <c:ser>
          <c:idx val="0"/>
          <c:order val="0"/>
          <c:tx>
            <c:strRef>
              <c:f>'Corp BAU'!$C$7</c:f>
              <c:strCache>
                <c:ptCount val="1"/>
                <c:pt idx="0">
                  <c:v>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'Corp BAU'!$H$47:$H$51</c:f>
              <c:strCache/>
            </c:strRef>
          </c:cat>
          <c:val>
            <c:numRef>
              <c:f>'Corp BAU'!$I$47:$I$51</c:f>
              <c:numCache/>
            </c:numRef>
          </c:val>
        </c:ser>
        <c:ser>
          <c:idx val="1"/>
          <c:order val="1"/>
          <c:tx>
            <c:strRef>
              <c:f>'Corp BAU'!$C$8</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'Corp BAU'!$H$47:$H$51</c:f>
              <c:strCache/>
            </c:strRef>
          </c:cat>
          <c:val>
            <c:numRef>
              <c:f>'Corp BAU'!$J$47:$J$51</c:f>
              <c:numCache/>
            </c:numRef>
          </c:val>
        </c:ser>
        <c:axId val="63810077"/>
        <c:axId val="37419782"/>
      </c:barChart>
      <c:catAx>
        <c:axId val="63810077"/>
        <c:scaling>
          <c:orientation val="minMax"/>
        </c:scaling>
        <c:axPos val="b"/>
        <c:title>
          <c:tx>
            <c:rich>
              <a:bodyPr vert="horz" rot="0" anchor="ctr"/>
              <a:lstStyle/>
              <a:p>
                <a:pPr algn="ctr">
                  <a:defRPr/>
                </a:pPr>
                <a:r>
                  <a:rPr lang="en-US" cap="none" sz="1000" b="1" i="0" u="none" baseline="0">
                    <a:solidFill>
                      <a:srgbClr val="000000"/>
                    </a:solidFill>
                  </a:rPr>
                  <a:t>Corporate Sector</a:t>
                </a:r>
              </a:p>
            </c:rich>
          </c:tx>
          <c:layout>
            <c:manualLayout>
              <c:xMode val="factor"/>
              <c:yMode val="factor"/>
              <c:x val="-0.01475"/>
              <c:y val="0.004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419782"/>
        <c:crosses val="autoZero"/>
        <c:auto val="1"/>
        <c:lblOffset val="100"/>
        <c:tickLblSkip val="1"/>
        <c:noMultiLvlLbl val="0"/>
      </c:catAx>
      <c:valAx>
        <c:axId val="37419782"/>
        <c:scaling>
          <c:orientation val="minMax"/>
        </c:scaling>
        <c:axPos val="l"/>
        <c:title>
          <c:tx>
            <c:rich>
              <a:bodyPr vert="horz" rot="-5400000" anchor="ctr"/>
              <a:lstStyle/>
              <a:p>
                <a:pPr algn="ctr">
                  <a:defRPr/>
                </a:pPr>
                <a:r>
                  <a:rPr lang="en-US" cap="none" sz="1000" b="1" i="0" u="none" baseline="0">
                    <a:solidFill>
                      <a:srgbClr val="000000"/>
                    </a:solidFill>
                  </a:rPr>
                  <a:t>Tonnes CO2e</a:t>
                </a:r>
              </a:p>
            </c:rich>
          </c:tx>
          <c:layout>
            <c:manualLayout>
              <c:xMode val="factor"/>
              <c:yMode val="factor"/>
              <c:x val="-0.0007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3810077"/>
        <c:crossesAt val="1"/>
        <c:crossBetween val="between"/>
        <c:dispUnits/>
      </c:valAx>
      <c:spPr>
        <a:solidFill>
          <a:srgbClr val="FFFFFF"/>
        </a:solidFill>
        <a:ln w="3175">
          <a:noFill/>
        </a:ln>
      </c:spPr>
    </c:plotArea>
    <c:legend>
      <c:legendPos val="r"/>
      <c:layout>
        <c:manualLayout>
          <c:xMode val="edge"/>
          <c:yMode val="edge"/>
          <c:x val="0.86275"/>
          <c:y val="0.3185"/>
          <c:w val="0.1165"/>
          <c:h val="0.209"/>
        </c:manualLayout>
      </c:layout>
      <c:overlay val="0"/>
      <c:spPr>
        <a:noFill/>
        <a:ln w="3175">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Community eCO2 Emissions Breakdown by Sector</a:t>
            </a:r>
          </a:p>
        </c:rich>
      </c:tx>
      <c:layout>
        <c:manualLayout>
          <c:xMode val="factor"/>
          <c:yMode val="factor"/>
          <c:x val="-0.00225"/>
          <c:y val="-0.008"/>
        </c:manualLayout>
      </c:layout>
      <c:spPr>
        <a:noFill/>
        <a:ln w="3175">
          <a:noFill/>
        </a:ln>
      </c:spPr>
    </c:title>
    <c:view3D>
      <c:rotX val="15"/>
      <c:hPercent val="100"/>
      <c:rotY val="0"/>
      <c:depthPercent val="100"/>
      <c:rAngAx val="1"/>
    </c:view3D>
    <c:plotArea>
      <c:layout>
        <c:manualLayout>
          <c:xMode val="edge"/>
          <c:yMode val="edge"/>
          <c:x val="0.068"/>
          <c:y val="0.31925"/>
          <c:w val="0.59875"/>
          <c:h val="0.58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CCFF"/>
              </a:solidFill>
              <a:ln w="3175">
                <a:noFill/>
              </a:ln>
            </c:spPr>
          </c:dPt>
          <c:dPt>
            <c:idx val="1"/>
            <c:spPr>
              <a:solidFill>
                <a:srgbClr val="008080"/>
              </a:solidFill>
              <a:ln w="3175">
                <a:noFill/>
              </a:ln>
            </c:spPr>
          </c:dPt>
          <c:dPt>
            <c:idx val="2"/>
            <c:spPr>
              <a:solidFill>
                <a:srgbClr val="9BBB59"/>
              </a:solidFill>
              <a:ln w="3175">
                <a:noFill/>
              </a:ln>
            </c:spPr>
          </c:dPt>
          <c:dPt>
            <c:idx val="3"/>
            <c:spPr>
              <a:solidFill>
                <a:srgbClr val="8064A2"/>
              </a:solidFill>
              <a:ln w="3175">
                <a:noFill/>
              </a:ln>
            </c:spPr>
          </c:dPt>
          <c:dPt>
            <c:idx val="4"/>
            <c:spPr>
              <a:solidFill>
                <a:srgbClr val="FFFF00"/>
              </a:solidFill>
              <a:ln w="3175">
                <a:noFill/>
              </a:ln>
            </c:spPr>
          </c:dPt>
          <c:dLbls>
            <c:numFmt formatCode="0%" sourceLinked="0"/>
            <c:showLegendKey val="0"/>
            <c:showVal val="0"/>
            <c:showBubbleSize val="0"/>
            <c:showCatName val="0"/>
            <c:showSerName val="0"/>
            <c:showLeaderLines val="0"/>
            <c:showPercent val="1"/>
          </c:dLbls>
          <c:cat>
            <c:strRef>
              <c:f>'Community Summary'!$B$9:$B$13</c:f>
              <c:strCache/>
            </c:strRef>
          </c:cat>
          <c:val>
            <c:numRef>
              <c:f>'Community Summary'!$D$9:$D$13</c:f>
              <c:numCache/>
            </c:numRef>
          </c:val>
        </c:ser>
      </c:pie3DChart>
      <c:spPr>
        <a:noFill/>
        <a:ln>
          <a:noFill/>
        </a:ln>
      </c:spPr>
    </c:plotArea>
    <c:legend>
      <c:legendPos val="r"/>
      <c:layout>
        <c:manualLayout>
          <c:xMode val="edge"/>
          <c:yMode val="edge"/>
          <c:x val="0.7435"/>
          <c:y val="0.384"/>
          <c:w val="0.24775"/>
          <c:h val="0.452"/>
        </c:manualLayout>
      </c:layout>
      <c:overlay val="0"/>
      <c:spPr>
        <a:noFill/>
        <a:ln w="3175">
          <a:noFill/>
        </a:ln>
      </c:spPr>
      <c:txPr>
        <a:bodyPr vert="horz" rot="0"/>
        <a:lstStyle/>
        <a:p>
          <a:pPr>
            <a:defRPr lang="en-US" cap="none" sz="92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Community eCO2 Emissions by Source</a:t>
            </a:r>
          </a:p>
        </c:rich>
      </c:tx>
      <c:layout>
        <c:manualLayout>
          <c:xMode val="factor"/>
          <c:yMode val="factor"/>
          <c:x val="-0.00225"/>
          <c:y val="-0.01225"/>
        </c:manualLayout>
      </c:layout>
      <c:spPr>
        <a:noFill/>
        <a:ln w="3175">
          <a:noFill/>
        </a:ln>
      </c:spPr>
    </c:title>
    <c:view3D>
      <c:rotX val="15"/>
      <c:hPercent val="100"/>
      <c:rotY val="0"/>
      <c:depthPercent val="100"/>
      <c:rAngAx val="1"/>
    </c:view3D>
    <c:plotArea>
      <c:layout>
        <c:manualLayout>
          <c:xMode val="edge"/>
          <c:yMode val="edge"/>
          <c:x val="0.06675"/>
          <c:y val="0.194"/>
          <c:w val="0.5845"/>
          <c:h val="0.715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noFill/>
              </a:ln>
            </c:spPr>
          </c:dPt>
          <c:dPt>
            <c:idx val="1"/>
            <c:spPr>
              <a:solidFill>
                <a:srgbClr val="9BBB59"/>
              </a:solidFill>
              <a:ln w="3175">
                <a:noFill/>
              </a:ln>
            </c:spPr>
          </c:dPt>
          <c:dPt>
            <c:idx val="2"/>
            <c:spPr>
              <a:solidFill>
                <a:srgbClr val="0070C0"/>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008080"/>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Lbls>
            <c:dLbl>
              <c:idx val="6"/>
              <c:layout>
                <c:manualLayout>
                  <c:x val="0"/>
                  <c:y val="0"/>
                </c:manualLayout>
              </c:layout>
              <c:txPr>
                <a:bodyPr vert="horz" rot="0" anchor="ctr"/>
                <a:lstStyle/>
                <a:p>
                  <a:pPr algn="ctr">
                    <a:defRPr lang="en-US" cap="none" sz="1000" b="0" i="0" u="none" baseline="0">
                      <a:solidFill>
                        <a:srgbClr val="000000"/>
                      </a:solidFill>
                    </a:defRPr>
                  </a:pPr>
                </a:p>
              </c:txPr>
              <c:numFmt formatCode="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 sourceLinked="0"/>
              <c:spPr>
                <a:noFill/>
                <a:ln w="3175">
                  <a:noFill/>
                </a:ln>
              </c:spPr>
              <c:showLegendKey val="0"/>
              <c:showVal val="0"/>
              <c:showBubbleSize val="0"/>
              <c:showCatName val="0"/>
              <c:showSerName val="0"/>
              <c:showPercent val="1"/>
            </c:dLbl>
            <c:numFmt formatCode="0%" sourceLinked="0"/>
            <c:showLegendKey val="0"/>
            <c:showVal val="0"/>
            <c:showBubbleSize val="0"/>
            <c:showCatName val="0"/>
            <c:showSerName val="0"/>
            <c:showLeaderLines val="0"/>
            <c:showPercent val="1"/>
          </c:dLbls>
          <c:cat>
            <c:strRef>
              <c:f>'Community Summary'!$B$22:$B$34</c:f>
              <c:strCache/>
            </c:strRef>
          </c:cat>
          <c:val>
            <c:numRef>
              <c:f>'Community Summary'!$E$22:$E$34</c:f>
              <c:numCache/>
            </c:numRef>
          </c:val>
        </c:ser>
      </c:pie3DChart>
      <c:spPr>
        <a:noFill/>
        <a:ln>
          <a:noFill/>
        </a:ln>
      </c:spPr>
    </c:plotArea>
    <c:legend>
      <c:legendPos val="r"/>
      <c:layout>
        <c:manualLayout>
          <c:xMode val="edge"/>
          <c:yMode val="edge"/>
          <c:x val="0.74725"/>
          <c:y val="0.14425"/>
          <c:w val="0.23775"/>
          <c:h val="0.83125"/>
        </c:manualLayout>
      </c:layout>
      <c:overlay val="0"/>
      <c:spPr>
        <a:noFill/>
        <a:ln w="3175">
          <a:noFill/>
        </a:ln>
      </c:spPr>
      <c:txPr>
        <a:bodyPr vert="horz" rot="0"/>
        <a:lstStyle/>
        <a:p>
          <a:pPr>
            <a:defRPr lang="en-US" cap="none" sz="92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Community Energy Breakdown by Sector</a:t>
            </a:r>
          </a:p>
        </c:rich>
      </c:tx>
      <c:layout>
        <c:manualLayout>
          <c:xMode val="factor"/>
          <c:yMode val="factor"/>
          <c:x val="-0.00425"/>
          <c:y val="-0.008"/>
        </c:manualLayout>
      </c:layout>
      <c:spPr>
        <a:noFill/>
        <a:ln w="3175">
          <a:noFill/>
        </a:ln>
      </c:spPr>
    </c:title>
    <c:view3D>
      <c:rotX val="15"/>
      <c:hPercent val="100"/>
      <c:rotY val="0"/>
      <c:depthPercent val="100"/>
      <c:rAngAx val="1"/>
    </c:view3D>
    <c:plotArea>
      <c:layout>
        <c:manualLayout>
          <c:xMode val="edge"/>
          <c:yMode val="edge"/>
          <c:x val="0.0705"/>
          <c:y val="0.2335"/>
          <c:w val="0.63275"/>
          <c:h val="0.66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CCFF"/>
              </a:solidFill>
              <a:ln w="3175">
                <a:noFill/>
              </a:ln>
            </c:spPr>
          </c:dPt>
          <c:dPt>
            <c:idx val="1"/>
            <c:spPr>
              <a:solidFill>
                <a:srgbClr val="008080"/>
              </a:solidFill>
              <a:ln w="3175">
                <a:noFill/>
              </a:ln>
            </c:spPr>
          </c:dPt>
          <c:dPt>
            <c:idx val="2"/>
            <c:spPr>
              <a:solidFill>
                <a:srgbClr val="9BBB59"/>
              </a:solidFill>
              <a:ln w="3175">
                <a:noFill/>
              </a:ln>
            </c:spPr>
          </c:dPt>
          <c:dPt>
            <c:idx val="3"/>
            <c:spPr>
              <a:solidFill>
                <a:srgbClr val="8064A2"/>
              </a:solidFill>
              <a:ln w="3175">
                <a:noFill/>
              </a:ln>
            </c:spPr>
          </c:dPt>
          <c:dLbls>
            <c:numFmt formatCode="0%" sourceLinked="0"/>
            <c:showLegendKey val="0"/>
            <c:showVal val="0"/>
            <c:showBubbleSize val="0"/>
            <c:showCatName val="0"/>
            <c:showSerName val="0"/>
            <c:showLeaderLines val="0"/>
            <c:showPercent val="1"/>
          </c:dLbls>
          <c:cat>
            <c:strRef>
              <c:f>'Community Summary'!$B$9:$B$12</c:f>
              <c:strCache/>
            </c:strRef>
          </c:cat>
          <c:val>
            <c:numRef>
              <c:f>'Community Summary'!$C$9:$C$12</c:f>
              <c:numCache/>
            </c:numRef>
          </c:val>
        </c:ser>
      </c:pie3DChart>
      <c:spPr>
        <a:noFill/>
        <a:ln>
          <a:noFill/>
        </a:ln>
      </c:spPr>
    </c:plotArea>
    <c:legend>
      <c:legendPos val="r"/>
      <c:layout>
        <c:manualLayout>
          <c:xMode val="edge"/>
          <c:yMode val="edge"/>
          <c:x val="0.7845"/>
          <c:y val="0.384"/>
          <c:w val="0.20475"/>
          <c:h val="0.364"/>
        </c:manualLayout>
      </c:layout>
      <c:overlay val="0"/>
      <c:spPr>
        <a:noFill/>
        <a:ln w="3175">
          <a:noFill/>
        </a:ln>
      </c:spPr>
      <c:txPr>
        <a:bodyPr vert="horz" rot="0"/>
        <a:lstStyle/>
        <a:p>
          <a:pPr>
            <a:defRPr lang="en-US" cap="none" sz="92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3</xdr:row>
      <xdr:rowOff>114300</xdr:rowOff>
    </xdr:from>
    <xdr:to>
      <xdr:col>14</xdr:col>
      <xdr:colOff>142875</xdr:colOff>
      <xdr:row>17</xdr:row>
      <xdr:rowOff>95250</xdr:rowOff>
    </xdr:to>
    <xdr:graphicFrame>
      <xdr:nvGraphicFramePr>
        <xdr:cNvPr id="1" name="Chart 1"/>
        <xdr:cNvGraphicFramePr/>
      </xdr:nvGraphicFramePr>
      <xdr:xfrm>
        <a:off x="4752975" y="857250"/>
        <a:ext cx="4419600" cy="2314575"/>
      </xdr:xfrm>
      <a:graphic>
        <a:graphicData uri="http://schemas.openxmlformats.org/drawingml/2006/chart">
          <c:chart xmlns:c="http://schemas.openxmlformats.org/drawingml/2006/chart" r:id="rId1"/>
        </a:graphicData>
      </a:graphic>
    </xdr:graphicFrame>
    <xdr:clientData/>
  </xdr:twoCellAnchor>
  <xdr:twoCellAnchor>
    <xdr:from>
      <xdr:col>6</xdr:col>
      <xdr:colOff>200025</xdr:colOff>
      <xdr:row>18</xdr:row>
      <xdr:rowOff>123825</xdr:rowOff>
    </xdr:from>
    <xdr:to>
      <xdr:col>14</xdr:col>
      <xdr:colOff>123825</xdr:colOff>
      <xdr:row>36</xdr:row>
      <xdr:rowOff>85725</xdr:rowOff>
    </xdr:to>
    <xdr:graphicFrame>
      <xdr:nvGraphicFramePr>
        <xdr:cNvPr id="2" name="Chart 2"/>
        <xdr:cNvGraphicFramePr/>
      </xdr:nvGraphicFramePr>
      <xdr:xfrm>
        <a:off x="4762500" y="3362325"/>
        <a:ext cx="4391025" cy="2943225"/>
      </xdr:xfrm>
      <a:graphic>
        <a:graphicData uri="http://schemas.openxmlformats.org/drawingml/2006/chart">
          <c:chart xmlns:c="http://schemas.openxmlformats.org/drawingml/2006/chart" r:id="rId2"/>
        </a:graphicData>
      </a:graphic>
    </xdr:graphicFrame>
    <xdr:clientData/>
  </xdr:twoCellAnchor>
  <xdr:twoCellAnchor>
    <xdr:from>
      <xdr:col>15</xdr:col>
      <xdr:colOff>57150</xdr:colOff>
      <xdr:row>3</xdr:row>
      <xdr:rowOff>95250</xdr:rowOff>
    </xdr:from>
    <xdr:to>
      <xdr:col>23</xdr:col>
      <xdr:colOff>209550</xdr:colOff>
      <xdr:row>17</xdr:row>
      <xdr:rowOff>76200</xdr:rowOff>
    </xdr:to>
    <xdr:graphicFrame>
      <xdr:nvGraphicFramePr>
        <xdr:cNvPr id="3" name="Chart 1"/>
        <xdr:cNvGraphicFramePr/>
      </xdr:nvGraphicFramePr>
      <xdr:xfrm>
        <a:off x="9620250" y="838200"/>
        <a:ext cx="4419600" cy="2314575"/>
      </xdr:xfrm>
      <a:graphic>
        <a:graphicData uri="http://schemas.openxmlformats.org/drawingml/2006/chart">
          <c:chart xmlns:c="http://schemas.openxmlformats.org/drawingml/2006/chart" r:id="rId3"/>
        </a:graphicData>
      </a:graphic>
    </xdr:graphicFrame>
    <xdr:clientData/>
  </xdr:twoCellAnchor>
  <xdr:twoCellAnchor>
    <xdr:from>
      <xdr:col>15</xdr:col>
      <xdr:colOff>66675</xdr:colOff>
      <xdr:row>18</xdr:row>
      <xdr:rowOff>123825</xdr:rowOff>
    </xdr:from>
    <xdr:to>
      <xdr:col>23</xdr:col>
      <xdr:colOff>190500</xdr:colOff>
      <xdr:row>36</xdr:row>
      <xdr:rowOff>85725</xdr:rowOff>
    </xdr:to>
    <xdr:graphicFrame>
      <xdr:nvGraphicFramePr>
        <xdr:cNvPr id="4" name="Chart 2"/>
        <xdr:cNvGraphicFramePr/>
      </xdr:nvGraphicFramePr>
      <xdr:xfrm>
        <a:off x="9629775" y="3362325"/>
        <a:ext cx="4391025" cy="29432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22</xdr:row>
      <xdr:rowOff>104775</xdr:rowOff>
    </xdr:from>
    <xdr:to>
      <xdr:col>5</xdr:col>
      <xdr:colOff>200025</xdr:colOff>
      <xdr:row>40</xdr:row>
      <xdr:rowOff>57150</xdr:rowOff>
    </xdr:to>
    <xdr:graphicFrame>
      <xdr:nvGraphicFramePr>
        <xdr:cNvPr id="1" name="Chart 7"/>
        <xdr:cNvGraphicFramePr/>
      </xdr:nvGraphicFramePr>
      <xdr:xfrm>
        <a:off x="238125" y="4495800"/>
        <a:ext cx="4591050" cy="2867025"/>
      </xdr:xfrm>
      <a:graphic>
        <a:graphicData uri="http://schemas.openxmlformats.org/drawingml/2006/chart">
          <c:chart xmlns:c="http://schemas.openxmlformats.org/drawingml/2006/chart" r:id="rId1"/>
        </a:graphicData>
      </a:graphic>
    </xdr:graphicFrame>
    <xdr:clientData/>
  </xdr:twoCellAnchor>
  <xdr:twoCellAnchor>
    <xdr:from>
      <xdr:col>6</xdr:col>
      <xdr:colOff>409575</xdr:colOff>
      <xdr:row>22</xdr:row>
      <xdr:rowOff>104775</xdr:rowOff>
    </xdr:from>
    <xdr:to>
      <xdr:col>11</xdr:col>
      <xdr:colOff>457200</xdr:colOff>
      <xdr:row>40</xdr:row>
      <xdr:rowOff>57150</xdr:rowOff>
    </xdr:to>
    <xdr:graphicFrame>
      <xdr:nvGraphicFramePr>
        <xdr:cNvPr id="2" name="Chart 8"/>
        <xdr:cNvGraphicFramePr/>
      </xdr:nvGraphicFramePr>
      <xdr:xfrm>
        <a:off x="5791200" y="4495800"/>
        <a:ext cx="4667250" cy="28670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3</xdr:row>
      <xdr:rowOff>95250</xdr:rowOff>
    </xdr:from>
    <xdr:to>
      <xdr:col>14</xdr:col>
      <xdr:colOff>66675</xdr:colOff>
      <xdr:row>18</xdr:row>
      <xdr:rowOff>38100</xdr:rowOff>
    </xdr:to>
    <xdr:graphicFrame>
      <xdr:nvGraphicFramePr>
        <xdr:cNvPr id="1" name="Chart 1"/>
        <xdr:cNvGraphicFramePr/>
      </xdr:nvGraphicFramePr>
      <xdr:xfrm>
        <a:off x="4467225" y="838200"/>
        <a:ext cx="4505325" cy="246697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18</xdr:row>
      <xdr:rowOff>123825</xdr:rowOff>
    </xdr:from>
    <xdr:to>
      <xdr:col>14</xdr:col>
      <xdr:colOff>85725</xdr:colOff>
      <xdr:row>37</xdr:row>
      <xdr:rowOff>142875</xdr:rowOff>
    </xdr:to>
    <xdr:graphicFrame>
      <xdr:nvGraphicFramePr>
        <xdr:cNvPr id="2" name="Chart 2"/>
        <xdr:cNvGraphicFramePr/>
      </xdr:nvGraphicFramePr>
      <xdr:xfrm>
        <a:off x="4457700" y="3390900"/>
        <a:ext cx="4533900" cy="3190875"/>
      </xdr:xfrm>
      <a:graphic>
        <a:graphicData uri="http://schemas.openxmlformats.org/drawingml/2006/chart">
          <c:chart xmlns:c="http://schemas.openxmlformats.org/drawingml/2006/chart" r:id="rId2"/>
        </a:graphicData>
      </a:graphic>
    </xdr:graphicFrame>
    <xdr:clientData/>
  </xdr:twoCellAnchor>
  <xdr:twoCellAnchor>
    <xdr:from>
      <xdr:col>14</xdr:col>
      <xdr:colOff>523875</xdr:colOff>
      <xdr:row>3</xdr:row>
      <xdr:rowOff>95250</xdr:rowOff>
    </xdr:from>
    <xdr:to>
      <xdr:col>23</xdr:col>
      <xdr:colOff>228600</xdr:colOff>
      <xdr:row>18</xdr:row>
      <xdr:rowOff>38100</xdr:rowOff>
    </xdr:to>
    <xdr:graphicFrame>
      <xdr:nvGraphicFramePr>
        <xdr:cNvPr id="3" name="Chart 1"/>
        <xdr:cNvGraphicFramePr/>
      </xdr:nvGraphicFramePr>
      <xdr:xfrm>
        <a:off x="9429750" y="838200"/>
        <a:ext cx="4505325" cy="2466975"/>
      </xdr:xfrm>
      <a:graphic>
        <a:graphicData uri="http://schemas.openxmlformats.org/drawingml/2006/chart">
          <c:chart xmlns:c="http://schemas.openxmlformats.org/drawingml/2006/chart" r:id="rId3"/>
        </a:graphicData>
      </a:graphic>
    </xdr:graphicFrame>
    <xdr:clientData/>
  </xdr:twoCellAnchor>
  <xdr:twoCellAnchor>
    <xdr:from>
      <xdr:col>14</xdr:col>
      <xdr:colOff>514350</xdr:colOff>
      <xdr:row>18</xdr:row>
      <xdr:rowOff>152400</xdr:rowOff>
    </xdr:from>
    <xdr:to>
      <xdr:col>23</xdr:col>
      <xdr:colOff>247650</xdr:colOff>
      <xdr:row>38</xdr:row>
      <xdr:rowOff>9525</xdr:rowOff>
    </xdr:to>
    <xdr:graphicFrame>
      <xdr:nvGraphicFramePr>
        <xdr:cNvPr id="4" name="Chart 2"/>
        <xdr:cNvGraphicFramePr/>
      </xdr:nvGraphicFramePr>
      <xdr:xfrm>
        <a:off x="9420225" y="3419475"/>
        <a:ext cx="4533900" cy="31908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5</xdr:col>
      <xdr:colOff>466725</xdr:colOff>
      <xdr:row>41</xdr:row>
      <xdr:rowOff>66675</xdr:rowOff>
    </xdr:to>
    <xdr:graphicFrame>
      <xdr:nvGraphicFramePr>
        <xdr:cNvPr id="1" name="Chart 7"/>
        <xdr:cNvGraphicFramePr/>
      </xdr:nvGraphicFramePr>
      <xdr:xfrm>
        <a:off x="238125" y="4286250"/>
        <a:ext cx="4857750" cy="3038475"/>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22</xdr:row>
      <xdr:rowOff>104775</xdr:rowOff>
    </xdr:from>
    <xdr:to>
      <xdr:col>11</xdr:col>
      <xdr:colOff>628650</xdr:colOff>
      <xdr:row>42</xdr:row>
      <xdr:rowOff>28575</xdr:rowOff>
    </xdr:to>
    <xdr:graphicFrame>
      <xdr:nvGraphicFramePr>
        <xdr:cNvPr id="2" name="Chart 8"/>
        <xdr:cNvGraphicFramePr/>
      </xdr:nvGraphicFramePr>
      <xdr:xfrm>
        <a:off x="5953125" y="4286250"/>
        <a:ext cx="4667250" cy="31623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9525</xdr:rowOff>
    </xdr:from>
    <xdr:to>
      <xdr:col>13</xdr:col>
      <xdr:colOff>609600</xdr:colOff>
      <xdr:row>51</xdr:row>
      <xdr:rowOff>9525</xdr:rowOff>
    </xdr:to>
    <xdr:sp>
      <xdr:nvSpPr>
        <xdr:cNvPr id="1" name="TextBox 1"/>
        <xdr:cNvSpPr txBox="1">
          <a:spLocks noChangeArrowheads="1"/>
        </xdr:cNvSpPr>
      </xdr:nvSpPr>
      <xdr:spPr>
        <a:xfrm>
          <a:off x="19050" y="5895975"/>
          <a:ext cx="8305800" cy="2428875"/>
        </a:xfrm>
        <a:prstGeom prst="rect">
          <a:avLst/>
        </a:prstGeom>
        <a:solidFill>
          <a:srgbClr val="FFFFFF"/>
        </a:solidFill>
        <a:ln w="2857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 The emissions factor for diesel (mobile combustion) is taken from  Canada's NIR (Annex 8).</a:t>
          </a:r>
          <a:r>
            <a:rPr lang="en-US" cap="none" sz="1100" b="0" i="0" u="none" baseline="0">
              <a:solidFill>
                <a:srgbClr val="000000"/>
              </a:solidFill>
              <a:latin typeface="Calibri"/>
              <a:ea typeface="Calibri"/>
              <a:cs typeface="Calibri"/>
            </a:rPr>
            <a:t>  Assumes light-duty diesel vehicles (LDDVs) with 'Advanced Control' (i.e. Model years 1996-2003).  [2,663 g CO2 + 0.051 g CH4 + 0.22 g N2O = 0.00268 tonnes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e/L].
</a:t>
          </a:r>
          <a:r>
            <a:rPr lang="en-US" cap="none" sz="1100" b="0" i="0" u="none" baseline="0">
              <a:solidFill>
                <a:srgbClr val="000000"/>
              </a:solidFill>
              <a:latin typeface="Calibri"/>
              <a:ea typeface="Calibri"/>
              <a:cs typeface="Calibri"/>
            </a:rPr>
            <a:t> The emissions factor for gasoline (mobile combustion) is taken from Canada's NIR (Annex 8).  Assumes both light-duty gasoline vehicles (LDGVs) and light-duty gasoline trucks (LDGTs) with 'Tier 1: 1994-2003'.  
</a:t>
          </a:r>
          <a:r>
            <a:rPr lang="en-US" cap="none" sz="1100" b="0" i="0" u="none" baseline="0">
              <a:solidFill>
                <a:srgbClr val="000000"/>
              </a:solidFill>
              <a:latin typeface="Calibri"/>
              <a:ea typeface="Calibri"/>
              <a:cs typeface="Calibri"/>
            </a:rPr>
            <a:t> Every District Energy (DE) system is unique, please enter an emission factor for the local DE system in the yellow cell above to accurately calculate the emissions  
</a:t>
          </a:r>
          <a:r>
            <a:rPr lang="en-US" cap="none" sz="1100" b="0" i="0" u="none" baseline="0">
              <a:solidFill>
                <a:srgbClr val="000000"/>
              </a:solidFill>
              <a:latin typeface="Calibri"/>
              <a:ea typeface="Calibri"/>
              <a:cs typeface="Calibri"/>
            </a:rPr>
            <a:t> The emissions factor for stationary diesel refers to diesel that is not used for road transportation.
</a:t>
          </a:r>
          <a:r>
            <a:rPr lang="en-US" cap="none" sz="1100" b="0" i="0" u="none" baseline="0">
              <a:solidFill>
                <a:srgbClr val="000000"/>
              </a:solidFill>
              <a:latin typeface="Calibri"/>
              <a:ea typeface="Calibri"/>
              <a:cs typeface="Calibri"/>
            </a:rPr>
            <a:t> The emission factor for CNG was taken from the NIR and converted from L into kg as this is the unit that is used to purchase this fuel.  The conversion was done using the density of natural gas at STP (0.6937 kg/m</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All emission factors from mobile source are tailpipe emissions and do not take into account life cycle analysis
</a:t>
          </a:r>
          <a:r>
            <a:rPr lang="en-US" cap="none" sz="1100" b="0" i="0" u="none" baseline="0">
              <a:solidFill>
                <a:srgbClr val="000000"/>
              </a:solidFill>
              <a:latin typeface="Calibri"/>
              <a:ea typeface="Calibri"/>
              <a:cs typeface="Calibri"/>
            </a:rPr>
            <a:t>  Unless otherwise stated, all </a:t>
          </a:r>
          <a:r>
            <a:rPr lang="en-US" cap="none" sz="1100" b="0" i="0" u="none" baseline="0">
              <a:solidFill>
                <a:srgbClr val="000000"/>
              </a:solidFill>
              <a:latin typeface="Calibri"/>
              <a:ea typeface="Calibri"/>
              <a:cs typeface="Calibri"/>
            </a:rPr>
            <a:t>values</a:t>
          </a:r>
          <a:r>
            <a:rPr lang="en-US" cap="none" sz="1100" b="0" i="0" u="none" baseline="0">
              <a:solidFill>
                <a:srgbClr val="000000"/>
              </a:solidFill>
              <a:latin typeface="Calibri"/>
              <a:ea typeface="Calibri"/>
              <a:cs typeface="Calibri"/>
            </a:rPr>
            <a:t> are taken from Canada's NIR, 1990-2011.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27</xdr:row>
      <xdr:rowOff>104775</xdr:rowOff>
    </xdr:from>
    <xdr:to>
      <xdr:col>12</xdr:col>
      <xdr:colOff>409575</xdr:colOff>
      <xdr:row>37</xdr:row>
      <xdr:rowOff>66675</xdr:rowOff>
    </xdr:to>
    <xdr:sp>
      <xdr:nvSpPr>
        <xdr:cNvPr id="1" name="TextBox 1"/>
        <xdr:cNvSpPr txBox="1">
          <a:spLocks noChangeArrowheads="1"/>
        </xdr:cNvSpPr>
      </xdr:nvSpPr>
      <xdr:spPr>
        <a:xfrm>
          <a:off x="1133475" y="4495800"/>
          <a:ext cx="8543925" cy="1581150"/>
        </a:xfrm>
        <a:prstGeom prst="rect">
          <a:avLst/>
        </a:prstGeom>
        <a:solidFill>
          <a:srgbClr val="FFFFFF"/>
        </a:solidFill>
        <a:ln w="2857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All emission factors have been updated from the National Inventory Report 1990-2011 - Greenhouse Gas Sources and Sinks in Canada. Annex 13. Released April 15, 2013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Available to download from: http://www.ec.gc.ca/ges-ghg/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a:t>
          </a:r>
          <a:r>
            <a:rPr lang="en-US" cap="none" sz="1100" b="0" i="0" u="none" baseline="0">
              <a:solidFill>
                <a:srgbClr val="FF0000"/>
              </a:solidFill>
              <a:latin typeface="Calibri"/>
              <a:ea typeface="Calibri"/>
              <a:cs typeface="Calibri"/>
            </a:rPr>
            <a:t>red text </a:t>
          </a:r>
          <a:r>
            <a:rPr lang="en-US" cap="none" sz="1100" b="0" i="0" u="none" baseline="0">
              <a:solidFill>
                <a:srgbClr val="000000"/>
              </a:solidFill>
              <a:latin typeface="Calibri"/>
              <a:ea typeface="Calibri"/>
              <a:cs typeface="Calibri"/>
            </a:rPr>
            <a:t>reflects emissions factors that have been changed since the last National Inventory Report.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Emission factors for 2011 and 2012 are assumed to be same as the latest year with available data (2010)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590550</xdr:colOff>
      <xdr:row>15</xdr:row>
      <xdr:rowOff>152400</xdr:rowOff>
    </xdr:to>
    <xdr:sp>
      <xdr:nvSpPr>
        <xdr:cNvPr id="1" name="TextBox 1"/>
        <xdr:cNvSpPr txBox="1">
          <a:spLocks noChangeArrowheads="1"/>
        </xdr:cNvSpPr>
      </xdr:nvSpPr>
      <xdr:spPr>
        <a:xfrm>
          <a:off x="19050" y="714375"/>
          <a:ext cx="3571875" cy="1914525"/>
        </a:xfrm>
        <a:prstGeom prst="rect">
          <a:avLst/>
        </a:prstGeom>
        <a:solidFill>
          <a:srgbClr val="FFFFFF"/>
        </a:solidFill>
        <a:ln w="2857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 factors for natural gas are for marketable gas (fuel consumed by the electric utilities, manufacturing industries, residential/commercial and transportation sectors), and are taken from Canada's National Inventory Report (NIR), 1990-2011</a:t>
          </a:r>
          <a:r>
            <a:rPr lang="en-US" cap="none" sz="1100" b="0" i="0" u="none" baseline="0">
              <a:solidFill>
                <a:srgbClr val="000000"/>
              </a:solidFill>
              <a:latin typeface="Calibri"/>
              <a:ea typeface="Calibri"/>
              <a:cs typeface="Calibri"/>
            </a:rPr>
            <a:t> (Annex 8).   </a:t>
          </a:r>
          <a:r>
            <a:rPr lang="en-US" cap="none" sz="1100" b="0" i="0" u="none" baseline="0">
              <a:solidFill>
                <a:srgbClr val="000000"/>
              </a:solidFill>
              <a:latin typeface="Calibri"/>
              <a:ea typeface="Calibri"/>
              <a:cs typeface="Calibri"/>
            </a:rPr>
            <a:t>They </a:t>
          </a:r>
          <a:r>
            <a:rPr lang="en-US" cap="none" sz="1100" b="0" i="0" u="none" baseline="0">
              <a:solidFill>
                <a:srgbClr val="000000"/>
              </a:solidFill>
              <a:latin typeface="Calibri"/>
              <a:ea typeface="Calibri"/>
              <a:cs typeface="Calibri"/>
            </a:rPr>
            <a:t>have not been  broken down by year as  fuel properties, such as carbon content, density, heating value, and to a lesser extent the combustion technology, remain relatively constant over time. </a:t>
          </a:r>
        </a:p>
      </xdr:txBody>
    </xdr:sp>
    <xdr:clientData/>
  </xdr:twoCellAnchor>
  <xdr:twoCellAnchor>
    <xdr:from>
      <xdr:col>3</xdr:col>
      <xdr:colOff>9525</xdr:colOff>
      <xdr:row>4</xdr:row>
      <xdr:rowOff>9525</xdr:rowOff>
    </xdr:from>
    <xdr:to>
      <xdr:col>9</xdr:col>
      <xdr:colOff>495300</xdr:colOff>
      <xdr:row>13</xdr:row>
      <xdr:rowOff>0</xdr:rowOff>
    </xdr:to>
    <xdr:sp>
      <xdr:nvSpPr>
        <xdr:cNvPr id="2" name="TextBox 2"/>
        <xdr:cNvSpPr txBox="1">
          <a:spLocks noChangeArrowheads="1"/>
        </xdr:cNvSpPr>
      </xdr:nvSpPr>
      <xdr:spPr>
        <a:xfrm>
          <a:off x="3743325" y="704850"/>
          <a:ext cx="4543425" cy="1447800"/>
        </a:xfrm>
        <a:prstGeom prst="rect">
          <a:avLst/>
        </a:prstGeom>
        <a:solidFill>
          <a:srgbClr val="FFFFFF"/>
        </a:solidFill>
        <a:ln w="2857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 data was available for Nunavut.  Assumed emissions factor similar to NWT.
</a:t>
          </a:r>
          <a:r>
            <a:rPr lang="en-US" cap="none" sz="1100" b="0" i="0" u="none" baseline="0">
              <a:solidFill>
                <a:srgbClr val="000000"/>
              </a:solidFill>
              <a:latin typeface="Calibri"/>
              <a:ea typeface="Calibri"/>
              <a:cs typeface="Calibri"/>
            </a:rPr>
            <a:t>No data was available for PEI; </a:t>
          </a:r>
          <a:r>
            <a:rPr lang="en-US" cap="none" sz="1100" b="0" i="0" u="none" baseline="0">
              <a:solidFill>
                <a:srgbClr val="000000"/>
              </a:solidFill>
              <a:latin typeface="Calibri"/>
              <a:ea typeface="Calibri"/>
              <a:cs typeface="Calibri"/>
            </a:rPr>
            <a:t>Assumed emission factor similar to</a:t>
          </a:r>
          <a:r>
            <a:rPr lang="en-US" cap="none" sz="1100" b="0" i="0" u="none" baseline="0">
              <a:solidFill>
                <a:srgbClr val="000000"/>
              </a:solidFill>
              <a:latin typeface="Calibri"/>
              <a:ea typeface="Calibri"/>
              <a:cs typeface="Calibri"/>
            </a:rPr>
            <a:t> other Atlantic provinces</a:t>
          </a:r>
        </a:p>
      </xdr:txBody>
    </xdr:sp>
    <xdr:clientData/>
  </xdr:twoCellAnchor>
  <xdr:twoCellAnchor>
    <xdr:from>
      <xdr:col>5</xdr:col>
      <xdr:colOff>285750</xdr:colOff>
      <xdr:row>19</xdr:row>
      <xdr:rowOff>28575</xdr:rowOff>
    </xdr:from>
    <xdr:to>
      <xdr:col>10</xdr:col>
      <xdr:colOff>209550</xdr:colOff>
      <xdr:row>30</xdr:row>
      <xdr:rowOff>9525</xdr:rowOff>
    </xdr:to>
    <xdr:sp>
      <xdr:nvSpPr>
        <xdr:cNvPr id="3" name="TextBox 3"/>
        <xdr:cNvSpPr txBox="1">
          <a:spLocks noChangeArrowheads="1"/>
        </xdr:cNvSpPr>
      </xdr:nvSpPr>
      <xdr:spPr>
        <a:xfrm>
          <a:off x="5743575" y="3200400"/>
          <a:ext cx="2752725" cy="2009775"/>
        </a:xfrm>
        <a:prstGeom prst="rect">
          <a:avLst/>
        </a:prstGeom>
        <a:solidFill>
          <a:srgbClr val="FFFFFF"/>
        </a:solidFill>
        <a:ln w="2857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The 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and N</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O</a:t>
          </a:r>
          <a:r>
            <a:rPr lang="en-US" cap="none" sz="1100" b="0" i="0" u="none" baseline="0">
              <a:solidFill>
                <a:srgbClr val="000000"/>
              </a:solidFill>
              <a:latin typeface="Calibri"/>
              <a:ea typeface="Calibri"/>
              <a:cs typeface="Calibri"/>
            </a:rPr>
            <a:t> emission factors are also taken from Canada's NIR (Annex 8).  These values have been incorporated in the eCO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figure listed above.  The 0.037 and 0.035 are values associated with Residential, Construction, Commercial/Institutional, and Agricultural uses of natural gas.  They are also very similar to the values listed for Manufacturing Industries and Industrial use of natural gas.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statcan.ca/english/freepub/57-003-XIE/57-003-XIE2005000.htm" TargetMode="External" /><Relationship Id="rId2" Type="http://schemas.openxmlformats.org/officeDocument/2006/relationships/hyperlink" Target="http://www.statcan.gc.ca/pub/57-003-x/2009000/t128-eng.htm"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oee.nrcan.gc.ca/publications/statistics/cvs09/pdf/cvs09.pdf" TargetMode="External" /><Relationship Id="rId2" Type="http://schemas.openxmlformats.org/officeDocument/2006/relationships/comments" Target="../comments24.xml" /><Relationship Id="rId3" Type="http://schemas.openxmlformats.org/officeDocument/2006/relationships/vmlDrawing" Target="../drawings/vmlDrawing8.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4">
    <tabColor rgb="FFFF0000"/>
    <pageSetUpPr fitToPage="1"/>
  </sheetPr>
  <dimension ref="A1:T63"/>
  <sheetViews>
    <sheetView tabSelected="1" zoomScalePageLayoutView="0" workbookViewId="0" topLeftCell="A2">
      <selection activeCell="B20" sqref="B20"/>
    </sheetView>
  </sheetViews>
  <sheetFormatPr defaultColWidth="9.33203125" defaultRowHeight="12.75"/>
  <cols>
    <col min="1" max="1" width="4.16015625" style="0" customWidth="1"/>
    <col min="2" max="2" width="130.5" style="0" customWidth="1"/>
  </cols>
  <sheetData>
    <row r="1" spans="1:20" ht="23.25" customHeight="1">
      <c r="A1" s="58"/>
      <c r="B1" s="81" t="s">
        <v>118</v>
      </c>
      <c r="C1" s="58"/>
      <c r="D1" s="58"/>
      <c r="E1" s="58"/>
      <c r="F1" s="58"/>
      <c r="G1" s="58"/>
      <c r="H1" s="58"/>
      <c r="I1" s="58"/>
      <c r="J1" s="58"/>
      <c r="K1" s="58"/>
      <c r="L1" s="58"/>
      <c r="M1" s="58"/>
      <c r="N1" s="58"/>
      <c r="O1" s="58"/>
      <c r="P1" s="58"/>
      <c r="Q1" s="58"/>
      <c r="R1" s="58"/>
      <c r="S1" s="58"/>
      <c r="T1" s="58"/>
    </row>
    <row r="2" spans="1:20" ht="1.5" customHeight="1">
      <c r="A2" s="58"/>
      <c r="B2" s="61"/>
      <c r="C2" s="58"/>
      <c r="D2" s="58"/>
      <c r="E2" s="58"/>
      <c r="F2" s="58"/>
      <c r="G2" s="58"/>
      <c r="H2" s="58"/>
      <c r="I2" s="58"/>
      <c r="J2" s="58"/>
      <c r="K2" s="58"/>
      <c r="L2" s="58"/>
      <c r="M2" s="58"/>
      <c r="N2" s="58"/>
      <c r="O2" s="58"/>
      <c r="P2" s="58"/>
      <c r="Q2" s="58"/>
      <c r="R2" s="58"/>
      <c r="S2" s="58"/>
      <c r="T2" s="58"/>
    </row>
    <row r="3" spans="1:20" ht="12.75" hidden="1">
      <c r="A3" s="58"/>
      <c r="B3" s="58"/>
      <c r="C3" s="58"/>
      <c r="D3" s="58"/>
      <c r="E3" s="58"/>
      <c r="F3" s="58"/>
      <c r="G3" s="58"/>
      <c r="H3" s="58"/>
      <c r="I3" s="58"/>
      <c r="J3" s="58"/>
      <c r="K3" s="58"/>
      <c r="L3" s="58"/>
      <c r="M3" s="58"/>
      <c r="N3" s="58"/>
      <c r="O3" s="58"/>
      <c r="P3" s="58"/>
      <c r="Q3" s="58"/>
      <c r="R3" s="58"/>
      <c r="S3" s="58"/>
      <c r="T3" s="58"/>
    </row>
    <row r="4" spans="1:20" ht="38.25">
      <c r="A4" s="58"/>
      <c r="B4" s="77" t="s">
        <v>183</v>
      </c>
      <c r="C4" s="59"/>
      <c r="D4" s="59"/>
      <c r="E4" s="59"/>
      <c r="F4" s="59"/>
      <c r="G4" s="59"/>
      <c r="H4" s="59"/>
      <c r="I4" s="59"/>
      <c r="J4" s="59"/>
      <c r="K4" s="59"/>
      <c r="L4" s="59"/>
      <c r="M4" s="58"/>
      <c r="N4" s="58"/>
      <c r="O4" s="58"/>
      <c r="P4" s="58"/>
      <c r="Q4" s="58"/>
      <c r="R4" s="58"/>
      <c r="S4" s="58"/>
      <c r="T4" s="58"/>
    </row>
    <row r="5" spans="1:20" ht="3" customHeight="1">
      <c r="A5" s="58"/>
      <c r="B5" s="78"/>
      <c r="C5" s="59"/>
      <c r="D5" s="59"/>
      <c r="E5" s="59"/>
      <c r="F5" s="59"/>
      <c r="G5" s="59"/>
      <c r="H5" s="59"/>
      <c r="I5" s="59"/>
      <c r="J5" s="59"/>
      <c r="K5" s="59"/>
      <c r="L5" s="59"/>
      <c r="M5" s="58"/>
      <c r="N5" s="58"/>
      <c r="O5" s="58"/>
      <c r="P5" s="58"/>
      <c r="Q5" s="58"/>
      <c r="R5" s="58"/>
      <c r="S5" s="58"/>
      <c r="T5" s="58"/>
    </row>
    <row r="6" spans="1:20" ht="38.25">
      <c r="A6" s="58"/>
      <c r="B6" s="79" t="s">
        <v>288</v>
      </c>
      <c r="C6" s="58"/>
      <c r="D6" s="58"/>
      <c r="E6" s="58"/>
      <c r="F6" s="58"/>
      <c r="G6" s="58"/>
      <c r="H6" s="58"/>
      <c r="I6" s="58"/>
      <c r="J6" s="58"/>
      <c r="K6" s="58"/>
      <c r="L6" s="58"/>
      <c r="M6" s="58"/>
      <c r="N6" s="58"/>
      <c r="O6" s="58"/>
      <c r="P6" s="58"/>
      <c r="Q6" s="58"/>
      <c r="R6" s="58"/>
      <c r="S6" s="58"/>
      <c r="T6" s="58"/>
    </row>
    <row r="7" spans="1:20" ht="1.5" customHeight="1">
      <c r="A7" s="58"/>
      <c r="B7" s="79"/>
      <c r="C7" s="58"/>
      <c r="D7" s="58"/>
      <c r="E7" s="58"/>
      <c r="F7" s="58"/>
      <c r="G7" s="58"/>
      <c r="H7" s="58"/>
      <c r="I7" s="58"/>
      <c r="J7" s="58"/>
      <c r="K7" s="58"/>
      <c r="L7" s="58"/>
      <c r="M7" s="58"/>
      <c r="N7" s="58"/>
      <c r="O7" s="58"/>
      <c r="P7" s="58"/>
      <c r="Q7" s="58"/>
      <c r="R7" s="58"/>
      <c r="S7" s="58"/>
      <c r="T7" s="58"/>
    </row>
    <row r="8" spans="1:20" ht="53.25" customHeight="1">
      <c r="A8" s="58"/>
      <c r="B8" s="79" t="s">
        <v>152</v>
      </c>
      <c r="C8" s="58"/>
      <c r="D8" s="58"/>
      <c r="E8" s="58"/>
      <c r="F8" s="58"/>
      <c r="G8" s="58"/>
      <c r="H8" s="58"/>
      <c r="I8" s="58"/>
      <c r="J8" s="58"/>
      <c r="K8" s="58"/>
      <c r="L8" s="58"/>
      <c r="M8" s="58"/>
      <c r="N8" s="58"/>
      <c r="O8" s="58"/>
      <c r="P8" s="58"/>
      <c r="Q8" s="58"/>
      <c r="R8" s="58"/>
      <c r="S8" s="58"/>
      <c r="T8" s="58"/>
    </row>
    <row r="9" spans="1:20" ht="3.75" customHeight="1">
      <c r="A9" s="58"/>
      <c r="B9" s="49"/>
      <c r="C9" s="58"/>
      <c r="D9" s="58"/>
      <c r="E9" s="58"/>
      <c r="F9" s="58"/>
      <c r="G9" s="58"/>
      <c r="H9" s="58"/>
      <c r="I9" s="58"/>
      <c r="J9" s="58"/>
      <c r="K9" s="58"/>
      <c r="L9" s="58"/>
      <c r="M9" s="58"/>
      <c r="N9" s="58"/>
      <c r="O9" s="58"/>
      <c r="P9" s="58"/>
      <c r="Q9" s="58"/>
      <c r="R9" s="58"/>
      <c r="S9" s="58"/>
      <c r="T9" s="58"/>
    </row>
    <row r="10" spans="1:20" ht="15" customHeight="1">
      <c r="A10" s="58"/>
      <c r="B10" s="361" t="s">
        <v>173</v>
      </c>
      <c r="C10" s="58"/>
      <c r="D10" s="58"/>
      <c r="E10" s="58"/>
      <c r="F10" s="58"/>
      <c r="G10" s="58"/>
      <c r="H10" s="58"/>
      <c r="I10" s="58"/>
      <c r="J10" s="58"/>
      <c r="K10" s="58"/>
      <c r="L10" s="58"/>
      <c r="M10" s="58"/>
      <c r="N10" s="58"/>
      <c r="O10" s="58"/>
      <c r="P10" s="58"/>
      <c r="Q10" s="58"/>
      <c r="R10" s="58"/>
      <c r="S10" s="58"/>
      <c r="T10" s="58"/>
    </row>
    <row r="11" spans="1:20" ht="15" customHeight="1">
      <c r="A11" s="58"/>
      <c r="B11" s="362" t="s">
        <v>171</v>
      </c>
      <c r="C11" s="58"/>
      <c r="D11" s="58"/>
      <c r="E11" s="58"/>
      <c r="F11" s="58"/>
      <c r="G11" s="58"/>
      <c r="H11" s="58"/>
      <c r="I11" s="58"/>
      <c r="J11" s="58"/>
      <c r="K11" s="58"/>
      <c r="L11" s="58"/>
      <c r="M11" s="58"/>
      <c r="N11" s="58"/>
      <c r="O11" s="58"/>
      <c r="P11" s="58"/>
      <c r="Q11" s="58"/>
      <c r="R11" s="58"/>
      <c r="S11" s="58"/>
      <c r="T11" s="58"/>
    </row>
    <row r="12" spans="1:20" ht="15" customHeight="1">
      <c r="A12" s="58"/>
      <c r="B12" s="363" t="s">
        <v>172</v>
      </c>
      <c r="C12" s="60"/>
      <c r="D12" s="60"/>
      <c r="E12" s="60"/>
      <c r="F12" s="60"/>
      <c r="G12" s="60"/>
      <c r="H12" s="60"/>
      <c r="I12" s="60"/>
      <c r="J12" s="60"/>
      <c r="K12" s="60"/>
      <c r="L12" s="60"/>
      <c r="M12" s="58"/>
      <c r="N12" s="58"/>
      <c r="O12" s="58"/>
      <c r="P12" s="58"/>
      <c r="Q12" s="58"/>
      <c r="R12" s="58"/>
      <c r="S12" s="58"/>
      <c r="T12" s="58"/>
    </row>
    <row r="13" spans="1:20" ht="15" customHeight="1">
      <c r="A13" s="58"/>
      <c r="B13" s="364" t="s">
        <v>158</v>
      </c>
      <c r="C13" s="60"/>
      <c r="D13" s="60"/>
      <c r="E13" s="60"/>
      <c r="F13" s="60"/>
      <c r="G13" s="60"/>
      <c r="H13" s="60"/>
      <c r="I13" s="60"/>
      <c r="J13" s="60"/>
      <c r="K13" s="60"/>
      <c r="L13" s="60"/>
      <c r="M13" s="58"/>
      <c r="N13" s="58"/>
      <c r="O13" s="58"/>
      <c r="P13" s="58"/>
      <c r="Q13" s="58"/>
      <c r="R13" s="58"/>
      <c r="S13" s="58"/>
      <c r="T13" s="58"/>
    </row>
    <row r="14" spans="1:20" ht="7.5" customHeight="1">
      <c r="A14" s="58"/>
      <c r="B14" s="49"/>
      <c r="C14" s="60"/>
      <c r="D14" s="60"/>
      <c r="E14" s="60"/>
      <c r="F14" s="60"/>
      <c r="G14" s="60"/>
      <c r="H14" s="60"/>
      <c r="I14" s="60"/>
      <c r="J14" s="60"/>
      <c r="K14" s="60"/>
      <c r="L14" s="60"/>
      <c r="M14" s="58"/>
      <c r="N14" s="58"/>
      <c r="O14" s="58"/>
      <c r="P14" s="58"/>
      <c r="Q14" s="58"/>
      <c r="R14" s="58"/>
      <c r="S14" s="58"/>
      <c r="T14" s="58"/>
    </row>
    <row r="15" spans="1:20" ht="2.25" customHeight="1">
      <c r="A15" s="58"/>
      <c r="B15" s="49"/>
      <c r="C15" s="60"/>
      <c r="D15" s="60"/>
      <c r="E15" s="60"/>
      <c r="F15" s="60"/>
      <c r="G15" s="60"/>
      <c r="H15" s="60"/>
      <c r="I15" s="60"/>
      <c r="J15" s="60"/>
      <c r="K15" s="60"/>
      <c r="L15" s="60"/>
      <c r="M15" s="58"/>
      <c r="N15" s="58"/>
      <c r="O15" s="58"/>
      <c r="P15" s="58"/>
      <c r="Q15" s="58"/>
      <c r="R15" s="58"/>
      <c r="S15" s="58"/>
      <c r="T15" s="58"/>
    </row>
    <row r="16" spans="1:20" ht="14.25" customHeight="1">
      <c r="A16" s="58"/>
      <c r="B16" s="357" t="s">
        <v>175</v>
      </c>
      <c r="C16" s="60"/>
      <c r="D16" s="60"/>
      <c r="E16" s="60"/>
      <c r="F16" s="60"/>
      <c r="G16" s="60"/>
      <c r="H16" s="60"/>
      <c r="I16" s="60"/>
      <c r="J16" s="60"/>
      <c r="K16" s="60"/>
      <c r="L16" s="60"/>
      <c r="M16" s="58"/>
      <c r="N16" s="58"/>
      <c r="O16" s="58"/>
      <c r="P16" s="58"/>
      <c r="Q16" s="58"/>
      <c r="R16" s="58"/>
      <c r="S16" s="58"/>
      <c r="T16" s="58"/>
    </row>
    <row r="17" spans="1:20" ht="15" customHeight="1">
      <c r="A17" s="58"/>
      <c r="B17" s="358" t="s">
        <v>174</v>
      </c>
      <c r="C17" s="60"/>
      <c r="D17" s="60"/>
      <c r="E17" s="60"/>
      <c r="F17" s="60"/>
      <c r="G17" s="60"/>
      <c r="H17" s="60"/>
      <c r="I17" s="60"/>
      <c r="J17" s="60"/>
      <c r="K17" s="60"/>
      <c r="L17" s="60"/>
      <c r="M17" s="58"/>
      <c r="N17" s="58"/>
      <c r="O17" s="58"/>
      <c r="P17" s="58"/>
      <c r="Q17" s="58"/>
      <c r="R17" s="58"/>
      <c r="S17" s="58"/>
      <c r="T17" s="58"/>
    </row>
    <row r="18" spans="1:20" ht="15" customHeight="1">
      <c r="A18" s="58"/>
      <c r="B18" s="359" t="s">
        <v>311</v>
      </c>
      <c r="C18" s="60"/>
      <c r="D18" s="60"/>
      <c r="E18" s="60"/>
      <c r="F18" s="60"/>
      <c r="G18" s="60"/>
      <c r="H18" s="60"/>
      <c r="I18" s="60"/>
      <c r="J18" s="60"/>
      <c r="K18" s="60"/>
      <c r="L18" s="60"/>
      <c r="M18" s="58"/>
      <c r="N18" s="58"/>
      <c r="O18" s="58"/>
      <c r="P18" s="58"/>
      <c r="Q18" s="58"/>
      <c r="R18" s="58"/>
      <c r="S18" s="58"/>
      <c r="T18" s="58"/>
    </row>
    <row r="19" spans="1:20" ht="15" customHeight="1">
      <c r="A19" s="58"/>
      <c r="B19" s="360" t="s">
        <v>270</v>
      </c>
      <c r="C19" s="60"/>
      <c r="D19" s="60"/>
      <c r="E19" s="60"/>
      <c r="F19" s="60"/>
      <c r="G19" s="60"/>
      <c r="H19" s="60"/>
      <c r="I19" s="60"/>
      <c r="J19" s="60"/>
      <c r="K19" s="60"/>
      <c r="L19" s="60"/>
      <c r="M19" s="58"/>
      <c r="N19" s="58"/>
      <c r="O19" s="58"/>
      <c r="P19" s="58"/>
      <c r="Q19" s="58"/>
      <c r="R19" s="58"/>
      <c r="S19" s="58"/>
      <c r="T19" s="58"/>
    </row>
    <row r="20" spans="1:20" ht="83.25" customHeight="1">
      <c r="A20" s="58"/>
      <c r="B20" s="257" t="s">
        <v>313</v>
      </c>
      <c r="C20" s="58"/>
      <c r="D20" s="58"/>
      <c r="E20" s="58"/>
      <c r="F20" s="58"/>
      <c r="G20" s="58"/>
      <c r="H20" s="58"/>
      <c r="I20" s="58"/>
      <c r="J20" s="58"/>
      <c r="K20" s="58"/>
      <c r="L20" s="58"/>
      <c r="M20" s="58"/>
      <c r="N20" s="58"/>
      <c r="O20" s="58"/>
      <c r="P20" s="58"/>
      <c r="Q20" s="58"/>
      <c r="R20" s="58"/>
      <c r="S20" s="58"/>
      <c r="T20" s="58"/>
    </row>
    <row r="21" spans="1:20" ht="2.25" customHeight="1">
      <c r="A21" s="58"/>
      <c r="B21" s="80"/>
      <c r="C21" s="58"/>
      <c r="D21" s="58"/>
      <c r="E21" s="58"/>
      <c r="F21" s="58"/>
      <c r="G21" s="58"/>
      <c r="H21" s="58"/>
      <c r="I21" s="58"/>
      <c r="J21" s="58"/>
      <c r="K21" s="58"/>
      <c r="L21" s="58"/>
      <c r="M21" s="58"/>
      <c r="N21" s="58"/>
      <c r="O21" s="58"/>
      <c r="P21" s="58"/>
      <c r="Q21" s="58"/>
      <c r="R21" s="58"/>
      <c r="S21" s="58"/>
      <c r="T21" s="58"/>
    </row>
    <row r="22" spans="1:20" ht="25.5">
      <c r="A22" s="58"/>
      <c r="B22" s="79" t="s">
        <v>314</v>
      </c>
      <c r="C22" s="58"/>
      <c r="D22" s="58"/>
      <c r="E22" s="58"/>
      <c r="F22" s="58"/>
      <c r="G22" s="58"/>
      <c r="H22" s="58"/>
      <c r="I22" s="58"/>
      <c r="J22" s="58"/>
      <c r="K22" s="58"/>
      <c r="L22" s="58"/>
      <c r="M22" s="58"/>
      <c r="N22" s="58"/>
      <c r="O22" s="58"/>
      <c r="P22" s="58"/>
      <c r="Q22" s="58"/>
      <c r="R22" s="58"/>
      <c r="S22" s="58"/>
      <c r="T22" s="58"/>
    </row>
    <row r="23" spans="1:20" ht="12.75">
      <c r="A23" s="58"/>
      <c r="B23" s="58"/>
      <c r="C23" s="58"/>
      <c r="D23" s="58"/>
      <c r="E23" s="58"/>
      <c r="F23" s="58"/>
      <c r="G23" s="58"/>
      <c r="H23" s="58"/>
      <c r="I23" s="58"/>
      <c r="J23" s="58"/>
      <c r="K23" s="58"/>
      <c r="L23" s="58"/>
      <c r="M23" s="58"/>
      <c r="N23" s="58"/>
      <c r="O23" s="58"/>
      <c r="P23" s="58"/>
      <c r="Q23" s="58"/>
      <c r="R23" s="58"/>
      <c r="S23" s="58"/>
      <c r="T23" s="58"/>
    </row>
    <row r="24" spans="1:20" ht="12.75">
      <c r="A24" s="58"/>
      <c r="B24" s="58"/>
      <c r="C24" s="58"/>
      <c r="D24" s="58"/>
      <c r="E24" s="58"/>
      <c r="F24" s="58"/>
      <c r="G24" s="58"/>
      <c r="H24" s="58"/>
      <c r="I24" s="58"/>
      <c r="J24" s="58"/>
      <c r="K24" s="58"/>
      <c r="L24" s="58"/>
      <c r="M24" s="58"/>
      <c r="N24" s="58"/>
      <c r="O24" s="58"/>
      <c r="P24" s="58"/>
      <c r="Q24" s="58"/>
      <c r="R24" s="58"/>
      <c r="S24" s="58"/>
      <c r="T24" s="58"/>
    </row>
    <row r="25" spans="1:20" ht="12.75">
      <c r="A25" s="58"/>
      <c r="B25" s="58"/>
      <c r="C25" s="58"/>
      <c r="D25" s="58"/>
      <c r="E25" s="58"/>
      <c r="F25" s="58"/>
      <c r="G25" s="58"/>
      <c r="H25" s="58"/>
      <c r="I25" s="58"/>
      <c r="J25" s="58"/>
      <c r="K25" s="58"/>
      <c r="L25" s="58"/>
      <c r="M25" s="58"/>
      <c r="N25" s="58"/>
      <c r="O25" s="58"/>
      <c r="P25" s="58"/>
      <c r="Q25" s="58"/>
      <c r="R25" s="58"/>
      <c r="S25" s="58"/>
      <c r="T25" s="58"/>
    </row>
    <row r="26" spans="1:20" ht="12.75">
      <c r="A26" s="58"/>
      <c r="B26" s="58"/>
      <c r="C26" s="58"/>
      <c r="D26" s="58"/>
      <c r="E26" s="58"/>
      <c r="F26" s="58"/>
      <c r="G26" s="58"/>
      <c r="H26" s="58"/>
      <c r="I26" s="58"/>
      <c r="J26" s="58"/>
      <c r="K26" s="58"/>
      <c r="L26" s="58"/>
      <c r="M26" s="58"/>
      <c r="N26" s="58"/>
      <c r="O26" s="58"/>
      <c r="P26" s="58"/>
      <c r="Q26" s="58"/>
      <c r="R26" s="58"/>
      <c r="S26" s="58"/>
      <c r="T26" s="58"/>
    </row>
    <row r="27" spans="1:20" ht="12.75">
      <c r="A27" s="58"/>
      <c r="B27" s="179"/>
      <c r="C27" s="58"/>
      <c r="D27" s="58"/>
      <c r="E27" s="58"/>
      <c r="F27" s="58"/>
      <c r="G27" s="58"/>
      <c r="H27" s="58"/>
      <c r="I27" s="58"/>
      <c r="J27" s="58"/>
      <c r="K27" s="58"/>
      <c r="L27" s="58"/>
      <c r="M27" s="58"/>
      <c r="N27" s="58"/>
      <c r="O27" s="58"/>
      <c r="P27" s="58"/>
      <c r="Q27" s="58"/>
      <c r="R27" s="58"/>
      <c r="S27" s="58"/>
      <c r="T27" s="58"/>
    </row>
    <row r="28" spans="1:20" ht="12.75">
      <c r="A28" s="58"/>
      <c r="B28" s="58"/>
      <c r="C28" s="58"/>
      <c r="D28" s="58"/>
      <c r="E28" s="58"/>
      <c r="F28" s="58"/>
      <c r="G28" s="58"/>
      <c r="H28" s="58"/>
      <c r="I28" s="58"/>
      <c r="J28" s="58"/>
      <c r="K28" s="58"/>
      <c r="L28" s="58"/>
      <c r="M28" s="58"/>
      <c r="N28" s="58"/>
      <c r="O28" s="58"/>
      <c r="P28" s="58"/>
      <c r="Q28" s="58"/>
      <c r="R28" s="58"/>
      <c r="S28" s="58"/>
      <c r="T28" s="58"/>
    </row>
    <row r="29" spans="1:20" ht="12.75">
      <c r="A29" s="58"/>
      <c r="B29" s="58"/>
      <c r="C29" s="58"/>
      <c r="D29" s="58"/>
      <c r="E29" s="58"/>
      <c r="F29" s="58"/>
      <c r="G29" s="58"/>
      <c r="H29" s="58"/>
      <c r="I29" s="58"/>
      <c r="J29" s="58"/>
      <c r="K29" s="58"/>
      <c r="L29" s="58"/>
      <c r="M29" s="58"/>
      <c r="N29" s="58"/>
      <c r="O29" s="58"/>
      <c r="P29" s="58"/>
      <c r="Q29" s="58"/>
      <c r="R29" s="58"/>
      <c r="S29" s="58"/>
      <c r="T29" s="58"/>
    </row>
    <row r="30" spans="1:20" ht="12.75">
      <c r="A30" s="58"/>
      <c r="B30" s="58"/>
      <c r="C30" s="58"/>
      <c r="D30" s="58"/>
      <c r="E30" s="58"/>
      <c r="F30" s="58"/>
      <c r="G30" s="58"/>
      <c r="H30" s="58"/>
      <c r="I30" s="58"/>
      <c r="J30" s="58"/>
      <c r="K30" s="58"/>
      <c r="L30" s="58"/>
      <c r="M30" s="58"/>
      <c r="N30" s="58"/>
      <c r="O30" s="58"/>
      <c r="P30" s="58"/>
      <c r="Q30" s="58"/>
      <c r="R30" s="58"/>
      <c r="S30" s="58"/>
      <c r="T30" s="58"/>
    </row>
    <row r="31" spans="1:20" ht="12.75">
      <c r="A31" s="58"/>
      <c r="B31" s="58"/>
      <c r="C31" s="58"/>
      <c r="D31" s="58"/>
      <c r="E31" s="58"/>
      <c r="F31" s="58"/>
      <c r="G31" s="58"/>
      <c r="H31" s="58"/>
      <c r="I31" s="58"/>
      <c r="J31" s="58"/>
      <c r="K31" s="58"/>
      <c r="L31" s="58"/>
      <c r="M31" s="58"/>
      <c r="N31" s="58"/>
      <c r="O31" s="58"/>
      <c r="P31" s="58"/>
      <c r="Q31" s="58"/>
      <c r="R31" s="58"/>
      <c r="S31" s="58"/>
      <c r="T31" s="58"/>
    </row>
    <row r="32" spans="1:20" ht="12.75">
      <c r="A32" s="58"/>
      <c r="B32" s="58"/>
      <c r="C32" s="58"/>
      <c r="D32" s="58"/>
      <c r="E32" s="58"/>
      <c r="F32" s="58"/>
      <c r="G32" s="58"/>
      <c r="H32" s="58"/>
      <c r="I32" s="58"/>
      <c r="J32" s="58"/>
      <c r="K32" s="58"/>
      <c r="L32" s="58"/>
      <c r="M32" s="58"/>
      <c r="N32" s="58"/>
      <c r="O32" s="58"/>
      <c r="P32" s="58"/>
      <c r="Q32" s="58"/>
      <c r="R32" s="58"/>
      <c r="S32" s="58"/>
      <c r="T32" s="58"/>
    </row>
    <row r="33" spans="1:20" ht="12.75">
      <c r="A33" s="58"/>
      <c r="B33" s="58"/>
      <c r="C33" s="58"/>
      <c r="D33" s="58"/>
      <c r="E33" s="58"/>
      <c r="F33" s="58"/>
      <c r="G33" s="58"/>
      <c r="H33" s="58"/>
      <c r="I33" s="58"/>
      <c r="J33" s="58"/>
      <c r="K33" s="58"/>
      <c r="L33" s="58"/>
      <c r="M33" s="58"/>
      <c r="N33" s="58"/>
      <c r="O33" s="58"/>
      <c r="P33" s="58"/>
      <c r="Q33" s="58"/>
      <c r="R33" s="58"/>
      <c r="S33" s="58"/>
      <c r="T33" s="58"/>
    </row>
    <row r="34" spans="1:20" ht="12.75">
      <c r="A34" s="58"/>
      <c r="B34" s="58"/>
      <c r="C34" s="58"/>
      <c r="D34" s="58"/>
      <c r="E34" s="58"/>
      <c r="F34" s="58"/>
      <c r="G34" s="58"/>
      <c r="H34" s="58"/>
      <c r="I34" s="58"/>
      <c r="J34" s="58"/>
      <c r="K34" s="58"/>
      <c r="L34" s="58"/>
      <c r="M34" s="58"/>
      <c r="N34" s="58"/>
      <c r="O34" s="58"/>
      <c r="P34" s="58"/>
      <c r="Q34" s="58"/>
      <c r="R34" s="58"/>
      <c r="S34" s="58"/>
      <c r="T34" s="58"/>
    </row>
    <row r="35" spans="1:20" ht="12.75">
      <c r="A35" s="58"/>
      <c r="B35" s="58"/>
      <c r="C35" s="58"/>
      <c r="D35" s="58"/>
      <c r="E35" s="58"/>
      <c r="F35" s="58"/>
      <c r="G35" s="58"/>
      <c r="H35" s="58"/>
      <c r="I35" s="58"/>
      <c r="J35" s="58"/>
      <c r="K35" s="58"/>
      <c r="L35" s="58"/>
      <c r="M35" s="58"/>
      <c r="N35" s="58"/>
      <c r="O35" s="58"/>
      <c r="P35" s="58"/>
      <c r="Q35" s="58"/>
      <c r="R35" s="58"/>
      <c r="S35" s="58"/>
      <c r="T35" s="58"/>
    </row>
    <row r="36" spans="1:20" ht="12.75">
      <c r="A36" s="58"/>
      <c r="B36" s="58"/>
      <c r="C36" s="58"/>
      <c r="D36" s="58"/>
      <c r="E36" s="58"/>
      <c r="F36" s="58"/>
      <c r="G36" s="58"/>
      <c r="H36" s="58"/>
      <c r="I36" s="58"/>
      <c r="J36" s="58"/>
      <c r="K36" s="58"/>
      <c r="L36" s="58"/>
      <c r="M36" s="58"/>
      <c r="N36" s="58"/>
      <c r="O36" s="58"/>
      <c r="P36" s="58"/>
      <c r="Q36" s="58"/>
      <c r="R36" s="58"/>
      <c r="S36" s="58"/>
      <c r="T36" s="58"/>
    </row>
    <row r="37" spans="1:20" ht="12.75">
      <c r="A37" s="58"/>
      <c r="B37" s="58"/>
      <c r="C37" s="58"/>
      <c r="D37" s="58"/>
      <c r="E37" s="58"/>
      <c r="F37" s="58"/>
      <c r="G37" s="58"/>
      <c r="H37" s="58"/>
      <c r="I37" s="58"/>
      <c r="J37" s="58"/>
      <c r="K37" s="58"/>
      <c r="L37" s="58"/>
      <c r="M37" s="58"/>
      <c r="N37" s="58"/>
      <c r="O37" s="58"/>
      <c r="P37" s="58"/>
      <c r="Q37" s="58"/>
      <c r="R37" s="58"/>
      <c r="S37" s="58"/>
      <c r="T37" s="58"/>
    </row>
    <row r="38" spans="1:20" ht="12.75">
      <c r="A38" s="58"/>
      <c r="B38" s="58"/>
      <c r="C38" s="58"/>
      <c r="D38" s="58"/>
      <c r="E38" s="58"/>
      <c r="F38" s="58"/>
      <c r="G38" s="58"/>
      <c r="H38" s="58"/>
      <c r="I38" s="58"/>
      <c r="J38" s="58"/>
      <c r="K38" s="58"/>
      <c r="L38" s="58"/>
      <c r="M38" s="58"/>
      <c r="N38" s="58"/>
      <c r="O38" s="58"/>
      <c r="P38" s="58"/>
      <c r="Q38" s="58"/>
      <c r="R38" s="58"/>
      <c r="S38" s="58"/>
      <c r="T38" s="58"/>
    </row>
    <row r="39" spans="1:20" ht="12.75">
      <c r="A39" s="58"/>
      <c r="B39" s="58"/>
      <c r="C39" s="58"/>
      <c r="D39" s="58"/>
      <c r="E39" s="58"/>
      <c r="F39" s="58"/>
      <c r="G39" s="58"/>
      <c r="H39" s="58"/>
      <c r="I39" s="58"/>
      <c r="J39" s="58"/>
      <c r="K39" s="58"/>
      <c r="L39" s="58"/>
      <c r="M39" s="58"/>
      <c r="N39" s="58"/>
      <c r="O39" s="58"/>
      <c r="P39" s="58"/>
      <c r="Q39" s="58"/>
      <c r="R39" s="58"/>
      <c r="S39" s="58"/>
      <c r="T39" s="58"/>
    </row>
    <row r="40" spans="1:20" ht="12.75">
      <c r="A40" s="58"/>
      <c r="B40" s="58"/>
      <c r="C40" s="58"/>
      <c r="D40" s="58"/>
      <c r="E40" s="58"/>
      <c r="F40" s="58"/>
      <c r="G40" s="58"/>
      <c r="H40" s="58"/>
      <c r="I40" s="58"/>
      <c r="J40" s="58"/>
      <c r="K40" s="58"/>
      <c r="L40" s="58"/>
      <c r="M40" s="58"/>
      <c r="N40" s="58"/>
      <c r="O40" s="58"/>
      <c r="P40" s="58"/>
      <c r="Q40" s="58"/>
      <c r="R40" s="58"/>
      <c r="S40" s="58"/>
      <c r="T40" s="58"/>
    </row>
    <row r="41" spans="1:20" ht="12.75">
      <c r="A41" s="58"/>
      <c r="B41" s="58"/>
      <c r="C41" s="58"/>
      <c r="D41" s="58"/>
      <c r="E41" s="58"/>
      <c r="F41" s="58"/>
      <c r="G41" s="58"/>
      <c r="H41" s="58"/>
      <c r="I41" s="58"/>
      <c r="J41" s="58"/>
      <c r="K41" s="58"/>
      <c r="L41" s="58"/>
      <c r="M41" s="58"/>
      <c r="N41" s="58"/>
      <c r="O41" s="58"/>
      <c r="P41" s="58"/>
      <c r="Q41" s="58"/>
      <c r="R41" s="58"/>
      <c r="S41" s="58"/>
      <c r="T41" s="58"/>
    </row>
    <row r="42" spans="1:20" ht="12.75">
      <c r="A42" s="58"/>
      <c r="B42" s="58"/>
      <c r="C42" s="58"/>
      <c r="D42" s="58"/>
      <c r="E42" s="58"/>
      <c r="F42" s="58"/>
      <c r="G42" s="58"/>
      <c r="H42" s="58"/>
      <c r="I42" s="58"/>
      <c r="J42" s="58"/>
      <c r="K42" s="58"/>
      <c r="L42" s="58"/>
      <c r="M42" s="58"/>
      <c r="N42" s="58"/>
      <c r="O42" s="58"/>
      <c r="P42" s="58"/>
      <c r="Q42" s="58"/>
      <c r="R42" s="58"/>
      <c r="S42" s="58"/>
      <c r="T42" s="58"/>
    </row>
    <row r="43" spans="1:20" ht="12.75">
      <c r="A43" s="58"/>
      <c r="B43" s="58"/>
      <c r="C43" s="58"/>
      <c r="D43" s="58"/>
      <c r="E43" s="58"/>
      <c r="F43" s="58"/>
      <c r="G43" s="58"/>
      <c r="H43" s="58"/>
      <c r="I43" s="58"/>
      <c r="J43" s="58"/>
      <c r="K43" s="58"/>
      <c r="L43" s="58"/>
      <c r="M43" s="58"/>
      <c r="N43" s="58"/>
      <c r="O43" s="58"/>
      <c r="P43" s="58"/>
      <c r="Q43" s="58"/>
      <c r="R43" s="58"/>
      <c r="S43" s="58"/>
      <c r="T43" s="58"/>
    </row>
    <row r="44" spans="1:20" ht="12.75">
      <c r="A44" s="58"/>
      <c r="B44" s="58"/>
      <c r="C44" s="58"/>
      <c r="D44" s="58"/>
      <c r="E44" s="58"/>
      <c r="F44" s="58"/>
      <c r="G44" s="58"/>
      <c r="H44" s="58"/>
      <c r="I44" s="58"/>
      <c r="J44" s="58"/>
      <c r="K44" s="58"/>
      <c r="L44" s="58"/>
      <c r="M44" s="58"/>
      <c r="N44" s="58"/>
      <c r="O44" s="58"/>
      <c r="P44" s="58"/>
      <c r="Q44" s="58"/>
      <c r="R44" s="58"/>
      <c r="S44" s="58"/>
      <c r="T44" s="58"/>
    </row>
    <row r="45" spans="1:20" ht="12.75">
      <c r="A45" s="58"/>
      <c r="B45" s="58"/>
      <c r="C45" s="58"/>
      <c r="D45" s="58"/>
      <c r="E45" s="58"/>
      <c r="F45" s="58"/>
      <c r="G45" s="58"/>
      <c r="H45" s="58"/>
      <c r="I45" s="58"/>
      <c r="J45" s="58"/>
      <c r="K45" s="58"/>
      <c r="L45" s="58"/>
      <c r="M45" s="58"/>
      <c r="N45" s="58"/>
      <c r="O45" s="58"/>
      <c r="P45" s="58"/>
      <c r="Q45" s="58"/>
      <c r="R45" s="58"/>
      <c r="S45" s="58"/>
      <c r="T45" s="58"/>
    </row>
    <row r="46" spans="1:20" ht="12.75">
      <c r="A46" s="58"/>
      <c r="B46" s="58"/>
      <c r="C46" s="58"/>
      <c r="D46" s="58"/>
      <c r="E46" s="58"/>
      <c r="F46" s="58"/>
      <c r="G46" s="58"/>
      <c r="H46" s="58"/>
      <c r="I46" s="58"/>
      <c r="J46" s="58"/>
      <c r="K46" s="58"/>
      <c r="L46" s="58"/>
      <c r="M46" s="58"/>
      <c r="N46" s="58"/>
      <c r="O46" s="58"/>
      <c r="P46" s="58"/>
      <c r="Q46" s="58"/>
      <c r="R46" s="58"/>
      <c r="S46" s="58"/>
      <c r="T46" s="58"/>
    </row>
    <row r="47" spans="1:20" ht="12.75">
      <c r="A47" s="58"/>
      <c r="B47" s="58"/>
      <c r="C47" s="58"/>
      <c r="D47" s="58"/>
      <c r="E47" s="58"/>
      <c r="F47" s="58"/>
      <c r="G47" s="58"/>
      <c r="H47" s="58"/>
      <c r="I47" s="58"/>
      <c r="J47" s="58"/>
      <c r="K47" s="58"/>
      <c r="L47" s="58"/>
      <c r="M47" s="58"/>
      <c r="N47" s="58"/>
      <c r="O47" s="58"/>
      <c r="P47" s="58"/>
      <c r="Q47" s="58"/>
      <c r="R47" s="58"/>
      <c r="S47" s="58"/>
      <c r="T47" s="58"/>
    </row>
    <row r="48" spans="1:20" ht="12.75">
      <c r="A48" s="58"/>
      <c r="B48" s="58"/>
      <c r="C48" s="58"/>
      <c r="D48" s="58"/>
      <c r="E48" s="58"/>
      <c r="F48" s="58"/>
      <c r="G48" s="58"/>
      <c r="H48" s="58"/>
      <c r="I48" s="58"/>
      <c r="J48" s="58"/>
      <c r="K48" s="58"/>
      <c r="L48" s="58"/>
      <c r="M48" s="58"/>
      <c r="N48" s="58"/>
      <c r="O48" s="58"/>
      <c r="P48" s="58"/>
      <c r="Q48" s="58"/>
      <c r="R48" s="58"/>
      <c r="S48" s="58"/>
      <c r="T48" s="58"/>
    </row>
    <row r="49" spans="1:20" ht="12.75">
      <c r="A49" s="58"/>
      <c r="B49" s="58"/>
      <c r="C49" s="58"/>
      <c r="D49" s="58"/>
      <c r="E49" s="58"/>
      <c r="F49" s="58"/>
      <c r="G49" s="58"/>
      <c r="H49" s="58"/>
      <c r="I49" s="58"/>
      <c r="J49" s="58"/>
      <c r="K49" s="58"/>
      <c r="L49" s="58"/>
      <c r="M49" s="58"/>
      <c r="N49" s="58"/>
      <c r="O49" s="58"/>
      <c r="P49" s="58"/>
      <c r="Q49" s="58"/>
      <c r="R49" s="58"/>
      <c r="S49" s="58"/>
      <c r="T49" s="58"/>
    </row>
    <row r="50" spans="1:20" ht="12.75">
      <c r="A50" s="58"/>
      <c r="B50" s="58"/>
      <c r="C50" s="58"/>
      <c r="D50" s="58"/>
      <c r="E50" s="58"/>
      <c r="F50" s="58"/>
      <c r="G50" s="58"/>
      <c r="H50" s="58"/>
      <c r="I50" s="58"/>
      <c r="J50" s="58"/>
      <c r="K50" s="58"/>
      <c r="L50" s="58"/>
      <c r="M50" s="58"/>
      <c r="N50" s="58"/>
      <c r="O50" s="58"/>
      <c r="P50" s="58"/>
      <c r="Q50" s="58"/>
      <c r="R50" s="58"/>
      <c r="S50" s="58"/>
      <c r="T50" s="58"/>
    </row>
    <row r="51" spans="1:20" ht="12.75">
      <c r="A51" s="58"/>
      <c r="B51" s="58"/>
      <c r="C51" s="58"/>
      <c r="D51" s="58"/>
      <c r="E51" s="58"/>
      <c r="F51" s="58"/>
      <c r="G51" s="58"/>
      <c r="H51" s="58"/>
      <c r="I51" s="58"/>
      <c r="J51" s="58"/>
      <c r="K51" s="58"/>
      <c r="L51" s="58"/>
      <c r="M51" s="58"/>
      <c r="N51" s="58"/>
      <c r="O51" s="58"/>
      <c r="P51" s="58"/>
      <c r="Q51" s="58"/>
      <c r="R51" s="58"/>
      <c r="S51" s="58"/>
      <c r="T51" s="58"/>
    </row>
    <row r="52" spans="1:20" ht="12.75">
      <c r="A52" s="58"/>
      <c r="B52" s="58"/>
      <c r="C52" s="58"/>
      <c r="D52" s="58"/>
      <c r="E52" s="58"/>
      <c r="F52" s="58"/>
      <c r="G52" s="58"/>
      <c r="H52" s="58"/>
      <c r="I52" s="58"/>
      <c r="J52" s="58"/>
      <c r="K52" s="58"/>
      <c r="L52" s="58"/>
      <c r="M52" s="58"/>
      <c r="N52" s="58"/>
      <c r="O52" s="58"/>
      <c r="P52" s="58"/>
      <c r="Q52" s="58"/>
      <c r="R52" s="58"/>
      <c r="S52" s="58"/>
      <c r="T52" s="58"/>
    </row>
    <row r="53" spans="1:20" ht="12.75">
      <c r="A53" s="58"/>
      <c r="B53" s="58"/>
      <c r="C53" s="58"/>
      <c r="D53" s="58"/>
      <c r="E53" s="58"/>
      <c r="F53" s="58"/>
      <c r="G53" s="58"/>
      <c r="H53" s="58"/>
      <c r="I53" s="58"/>
      <c r="J53" s="58"/>
      <c r="K53" s="58"/>
      <c r="L53" s="58"/>
      <c r="M53" s="58"/>
      <c r="N53" s="58"/>
      <c r="O53" s="58"/>
      <c r="P53" s="58"/>
      <c r="Q53" s="58"/>
      <c r="R53" s="58"/>
      <c r="S53" s="58"/>
      <c r="T53" s="58"/>
    </row>
    <row r="54" spans="1:20" ht="12.75">
      <c r="A54" s="58"/>
      <c r="B54" s="58"/>
      <c r="C54" s="58"/>
      <c r="D54" s="58"/>
      <c r="E54" s="58"/>
      <c r="F54" s="58"/>
      <c r="G54" s="58"/>
      <c r="H54" s="58"/>
      <c r="I54" s="58"/>
      <c r="J54" s="58"/>
      <c r="K54" s="58"/>
      <c r="L54" s="58"/>
      <c r="M54" s="58"/>
      <c r="N54" s="58"/>
      <c r="O54" s="58"/>
      <c r="P54" s="58"/>
      <c r="Q54" s="58"/>
      <c r="R54" s="58"/>
      <c r="S54" s="58"/>
      <c r="T54" s="58"/>
    </row>
    <row r="55" spans="1:20" ht="12.75">
      <c r="A55" s="58"/>
      <c r="B55" s="58"/>
      <c r="C55" s="58"/>
      <c r="D55" s="58"/>
      <c r="E55" s="58"/>
      <c r="F55" s="58"/>
      <c r="G55" s="58"/>
      <c r="H55" s="58"/>
      <c r="I55" s="58"/>
      <c r="J55" s="58"/>
      <c r="K55" s="58"/>
      <c r="L55" s="58"/>
      <c r="M55" s="58"/>
      <c r="N55" s="58"/>
      <c r="O55" s="58"/>
      <c r="P55" s="58"/>
      <c r="Q55" s="58"/>
      <c r="R55" s="58"/>
      <c r="S55" s="58"/>
      <c r="T55" s="58"/>
    </row>
    <row r="56" spans="1:20" ht="12.75">
      <c r="A56" s="58"/>
      <c r="B56" s="58"/>
      <c r="C56" s="58"/>
      <c r="D56" s="58"/>
      <c r="E56" s="58"/>
      <c r="F56" s="58"/>
      <c r="G56" s="58"/>
      <c r="H56" s="58"/>
      <c r="I56" s="58"/>
      <c r="J56" s="58"/>
      <c r="K56" s="58"/>
      <c r="L56" s="58"/>
      <c r="M56" s="58"/>
      <c r="N56" s="58"/>
      <c r="O56" s="58"/>
      <c r="P56" s="58"/>
      <c r="Q56" s="58"/>
      <c r="R56" s="58"/>
      <c r="S56" s="58"/>
      <c r="T56" s="58"/>
    </row>
    <row r="57" spans="1:20" ht="12.75">
      <c r="A57" s="58"/>
      <c r="B57" s="58"/>
      <c r="C57" s="58"/>
      <c r="D57" s="58"/>
      <c r="E57" s="58"/>
      <c r="F57" s="58"/>
      <c r="G57" s="58"/>
      <c r="H57" s="58"/>
      <c r="I57" s="58"/>
      <c r="J57" s="58"/>
      <c r="K57" s="58"/>
      <c r="L57" s="58"/>
      <c r="M57" s="58"/>
      <c r="N57" s="58"/>
      <c r="O57" s="58"/>
      <c r="P57" s="58"/>
      <c r="Q57" s="58"/>
      <c r="R57" s="58"/>
      <c r="S57" s="58"/>
      <c r="T57" s="58"/>
    </row>
    <row r="58" spans="1:20" ht="12.75">
      <c r="A58" s="58"/>
      <c r="B58" s="58"/>
      <c r="C58" s="58"/>
      <c r="D58" s="58"/>
      <c r="E58" s="58"/>
      <c r="F58" s="58"/>
      <c r="G58" s="58"/>
      <c r="H58" s="58"/>
      <c r="I58" s="58"/>
      <c r="J58" s="58"/>
      <c r="K58" s="58"/>
      <c r="L58" s="58"/>
      <c r="M58" s="58"/>
      <c r="N58" s="58"/>
      <c r="O58" s="58"/>
      <c r="P58" s="58"/>
      <c r="Q58" s="58"/>
      <c r="R58" s="58"/>
      <c r="S58" s="58"/>
      <c r="T58" s="58"/>
    </row>
    <row r="59" spans="1:20" ht="12.75">
      <c r="A59" s="58"/>
      <c r="B59" s="58"/>
      <c r="C59" s="58"/>
      <c r="D59" s="58"/>
      <c r="E59" s="58"/>
      <c r="F59" s="58"/>
      <c r="G59" s="58"/>
      <c r="H59" s="58"/>
      <c r="I59" s="58"/>
      <c r="J59" s="58"/>
      <c r="K59" s="58"/>
      <c r="L59" s="58"/>
      <c r="M59" s="58"/>
      <c r="N59" s="58"/>
      <c r="O59" s="58"/>
      <c r="P59" s="58"/>
      <c r="Q59" s="58"/>
      <c r="R59" s="58"/>
      <c r="S59" s="58"/>
      <c r="T59" s="58"/>
    </row>
    <row r="60" spans="1:20" ht="12.75">
      <c r="A60" s="58"/>
      <c r="B60" s="58"/>
      <c r="C60" s="58"/>
      <c r="D60" s="58"/>
      <c r="E60" s="58"/>
      <c r="F60" s="58"/>
      <c r="G60" s="58"/>
      <c r="H60" s="58"/>
      <c r="I60" s="58"/>
      <c r="J60" s="58"/>
      <c r="K60" s="58"/>
      <c r="L60" s="58"/>
      <c r="M60" s="58"/>
      <c r="N60" s="58"/>
      <c r="O60" s="58"/>
      <c r="P60" s="58"/>
      <c r="Q60" s="58"/>
      <c r="R60" s="58"/>
      <c r="S60" s="58"/>
      <c r="T60" s="58"/>
    </row>
    <row r="61" spans="1:20" ht="12.75">
      <c r="A61" s="58"/>
      <c r="B61" s="58"/>
      <c r="C61" s="58"/>
      <c r="D61" s="58"/>
      <c r="E61" s="58"/>
      <c r="F61" s="58"/>
      <c r="G61" s="58"/>
      <c r="H61" s="58"/>
      <c r="I61" s="58"/>
      <c r="J61" s="58"/>
      <c r="K61" s="58"/>
      <c r="L61" s="58"/>
      <c r="M61" s="58"/>
      <c r="N61" s="58"/>
      <c r="O61" s="58"/>
      <c r="P61" s="58"/>
      <c r="Q61" s="58"/>
      <c r="R61" s="58"/>
      <c r="S61" s="58"/>
      <c r="T61" s="58"/>
    </row>
    <row r="62" spans="1:20" ht="12.75">
      <c r="A62" s="58"/>
      <c r="B62" s="58"/>
      <c r="C62" s="58"/>
      <c r="D62" s="58"/>
      <c r="E62" s="58"/>
      <c r="F62" s="58"/>
      <c r="G62" s="58"/>
      <c r="H62" s="58"/>
      <c r="I62" s="58"/>
      <c r="J62" s="58"/>
      <c r="K62" s="58"/>
      <c r="L62" s="58"/>
      <c r="M62" s="58"/>
      <c r="N62" s="58"/>
      <c r="O62" s="58"/>
      <c r="P62" s="58"/>
      <c r="Q62" s="58"/>
      <c r="R62" s="58"/>
      <c r="S62" s="58"/>
      <c r="T62" s="58"/>
    </row>
    <row r="63" spans="1:20" ht="12.75">
      <c r="A63" s="58"/>
      <c r="B63" s="58"/>
      <c r="C63" s="58"/>
      <c r="D63" s="58"/>
      <c r="E63" s="58"/>
      <c r="F63" s="58"/>
      <c r="G63" s="58"/>
      <c r="H63" s="58"/>
      <c r="I63" s="58"/>
      <c r="J63" s="58"/>
      <c r="K63" s="58"/>
      <c r="L63" s="58"/>
      <c r="M63" s="58"/>
      <c r="N63" s="58"/>
      <c r="O63" s="58"/>
      <c r="P63" s="58"/>
      <c r="Q63" s="58"/>
      <c r="R63" s="58"/>
      <c r="S63" s="58"/>
      <c r="T63" s="58"/>
    </row>
  </sheetData>
  <sheetProtection/>
  <printOptions/>
  <pageMargins left="0.75" right="0.75" top="1" bottom="1" header="0.5" footer="0.5"/>
  <pageSetup fitToHeight="1" fitToWidth="1" horizontalDpi="600" verticalDpi="600" orientation="portrait" scale="95" r:id="rId1"/>
</worksheet>
</file>

<file path=xl/worksheets/sheet10.xml><?xml version="1.0" encoding="utf-8"?>
<worksheet xmlns="http://schemas.openxmlformats.org/spreadsheetml/2006/main" xmlns:r="http://schemas.openxmlformats.org/officeDocument/2006/relationships">
  <sheetPr codeName="Sheet7">
    <tabColor rgb="FFFFFF00"/>
  </sheetPr>
  <dimension ref="A1:AC68"/>
  <sheetViews>
    <sheetView zoomScalePageLayoutView="0" workbookViewId="0" topLeftCell="A1">
      <selection activeCell="C6" sqref="C6:H6"/>
    </sheetView>
  </sheetViews>
  <sheetFormatPr defaultColWidth="9.33203125" defaultRowHeight="12.75"/>
  <cols>
    <col min="1" max="1" width="4.16015625" style="0" customWidth="1"/>
    <col min="2" max="2" width="14.5" style="0" customWidth="1"/>
    <col min="3" max="3" width="9.83203125" style="0" customWidth="1"/>
    <col min="4" max="4" width="12.5" style="0" customWidth="1"/>
    <col min="5" max="5" width="13.5" style="0" hidden="1" customWidth="1"/>
    <col min="6" max="6" width="13.66015625" style="0" customWidth="1"/>
    <col min="7" max="7" width="21.83203125" style="0" bestFit="1" customWidth="1"/>
    <col min="8" max="8" width="11.33203125" style="0" customWidth="1"/>
    <col min="9" max="9" width="10" style="0" customWidth="1"/>
  </cols>
  <sheetData>
    <row r="1" spans="1:29" ht="12.7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row>
    <row r="2" spans="1:29" ht="12.7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row>
    <row r="3" spans="1:29" ht="30">
      <c r="A3" s="58"/>
      <c r="B3" s="440" t="s">
        <v>165</v>
      </c>
      <c r="C3" s="416"/>
      <c r="D3" s="416"/>
      <c r="E3" s="181"/>
      <c r="F3" s="58"/>
      <c r="G3" s="58"/>
      <c r="H3" s="58"/>
      <c r="I3" s="58"/>
      <c r="J3" s="58"/>
      <c r="K3" s="58"/>
      <c r="L3" s="58"/>
      <c r="M3" s="58"/>
      <c r="N3" s="58"/>
      <c r="O3" s="58"/>
      <c r="P3" s="58"/>
      <c r="Q3" s="58"/>
      <c r="R3" s="58"/>
      <c r="S3" s="58"/>
      <c r="T3" s="58"/>
      <c r="U3" s="58"/>
      <c r="V3" s="58"/>
      <c r="W3" s="58"/>
      <c r="X3" s="58"/>
      <c r="Y3" s="58"/>
      <c r="Z3" s="58"/>
      <c r="AA3" s="58"/>
      <c r="AB3" s="58"/>
      <c r="AC3" s="58"/>
    </row>
    <row r="4" spans="1:29" ht="13.5">
      <c r="A4" s="58"/>
      <c r="B4" s="68" t="s">
        <v>77</v>
      </c>
      <c r="C4" s="60"/>
      <c r="D4" s="60"/>
      <c r="E4" s="60"/>
      <c r="F4" s="58"/>
      <c r="G4" s="58"/>
      <c r="H4" s="58"/>
      <c r="I4" s="58"/>
      <c r="J4" s="58"/>
      <c r="K4" s="58"/>
      <c r="L4" s="58"/>
      <c r="M4" s="58"/>
      <c r="N4" s="58"/>
      <c r="O4" s="58"/>
      <c r="P4" s="58"/>
      <c r="Q4" s="58"/>
      <c r="R4" s="58"/>
      <c r="S4" s="58"/>
      <c r="T4" s="58"/>
      <c r="U4" s="58"/>
      <c r="V4" s="58"/>
      <c r="W4" s="58"/>
      <c r="X4" s="58"/>
      <c r="Y4" s="58"/>
      <c r="Z4" s="58"/>
      <c r="AA4" s="58"/>
      <c r="AB4" s="58"/>
      <c r="AC4" s="58"/>
    </row>
    <row r="5" spans="1:29" ht="12.75">
      <c r="A5" s="58"/>
      <c r="B5" s="60"/>
      <c r="C5" s="60"/>
      <c r="D5" s="60"/>
      <c r="E5" s="60"/>
      <c r="F5" s="58"/>
      <c r="G5" s="58"/>
      <c r="H5" s="58"/>
      <c r="I5" s="58"/>
      <c r="J5" s="58"/>
      <c r="K5" s="58"/>
      <c r="L5" s="58"/>
      <c r="M5" s="58"/>
      <c r="N5" s="58"/>
      <c r="O5" s="58"/>
      <c r="P5" s="58"/>
      <c r="Q5" s="58"/>
      <c r="R5" s="58"/>
      <c r="S5" s="58"/>
      <c r="T5" s="58"/>
      <c r="U5" s="58"/>
      <c r="V5" s="58"/>
      <c r="W5" s="58"/>
      <c r="X5" s="58"/>
      <c r="Y5" s="58"/>
      <c r="Z5" s="58"/>
      <c r="AA5" s="58"/>
      <c r="AB5" s="58"/>
      <c r="AC5" s="58"/>
    </row>
    <row r="6" spans="1:29" ht="12.75" customHeight="1">
      <c r="A6" s="58"/>
      <c r="B6" s="69" t="s">
        <v>72</v>
      </c>
      <c r="C6" s="441" t="s">
        <v>80</v>
      </c>
      <c r="D6" s="441"/>
      <c r="E6" s="441"/>
      <c r="F6" s="441"/>
      <c r="G6" s="441"/>
      <c r="H6" s="441"/>
      <c r="I6" s="58"/>
      <c r="J6" s="58"/>
      <c r="K6" s="58"/>
      <c r="L6" s="58"/>
      <c r="M6" s="58"/>
      <c r="N6" s="58"/>
      <c r="O6" s="58"/>
      <c r="P6" s="58"/>
      <c r="Q6" s="58"/>
      <c r="R6" s="58"/>
      <c r="S6" s="58"/>
      <c r="T6" s="58"/>
      <c r="U6" s="58"/>
      <c r="V6" s="58"/>
      <c r="W6" s="58"/>
      <c r="X6" s="58"/>
      <c r="Y6" s="58"/>
      <c r="Z6" s="58"/>
      <c r="AA6" s="58"/>
      <c r="AB6" s="58"/>
      <c r="AC6" s="58"/>
    </row>
    <row r="7" spans="1:29" ht="12.75" customHeight="1">
      <c r="A7" s="58"/>
      <c r="B7" s="60"/>
      <c r="C7" s="60"/>
      <c r="D7" s="60"/>
      <c r="E7" s="60"/>
      <c r="F7" s="58"/>
      <c r="G7" s="58"/>
      <c r="H7" s="58"/>
      <c r="I7" s="58"/>
      <c r="J7" s="58"/>
      <c r="K7" s="58"/>
      <c r="L7" s="58"/>
      <c r="M7" s="58"/>
      <c r="N7" s="58"/>
      <c r="O7" s="58"/>
      <c r="P7" s="58"/>
      <c r="Q7" s="58"/>
      <c r="R7" s="58"/>
      <c r="S7" s="58"/>
      <c r="T7" s="58"/>
      <c r="U7" s="58"/>
      <c r="V7" s="58"/>
      <c r="W7" s="58"/>
      <c r="X7" s="58"/>
      <c r="Y7" s="58"/>
      <c r="Z7" s="58"/>
      <c r="AA7" s="58"/>
      <c r="AB7" s="58"/>
      <c r="AC7" s="58"/>
    </row>
    <row r="8" spans="1:29" ht="13.5" thickBo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row>
    <row r="9" spans="1:29" ht="14.25">
      <c r="A9" s="58"/>
      <c r="B9" s="6" t="s">
        <v>71</v>
      </c>
      <c r="C9" s="210" t="s">
        <v>58</v>
      </c>
      <c r="D9" s="210" t="s">
        <v>57</v>
      </c>
      <c r="E9" s="211" t="s">
        <v>230</v>
      </c>
      <c r="F9" s="183" t="s">
        <v>205</v>
      </c>
      <c r="G9" s="58"/>
      <c r="H9" s="58"/>
      <c r="I9" s="58"/>
      <c r="J9" s="58"/>
      <c r="K9" s="58"/>
      <c r="L9" s="58"/>
      <c r="M9" s="58"/>
      <c r="N9" s="58"/>
      <c r="O9" s="58"/>
      <c r="P9" s="58"/>
      <c r="Q9" s="58"/>
      <c r="R9" s="58"/>
      <c r="S9" s="58"/>
      <c r="T9" s="58"/>
      <c r="U9" s="58"/>
      <c r="V9" s="58"/>
      <c r="W9" s="58"/>
      <c r="X9" s="58"/>
      <c r="Y9" s="58"/>
      <c r="Z9" s="58"/>
      <c r="AA9" s="58"/>
      <c r="AB9" s="58"/>
      <c r="AC9" s="58"/>
    </row>
    <row r="10" spans="1:29" ht="12.75">
      <c r="A10" s="58"/>
      <c r="B10" s="368" t="s">
        <v>56</v>
      </c>
      <c r="C10" s="202" t="s">
        <v>59</v>
      </c>
      <c r="D10" s="203"/>
      <c r="E10" s="200" t="e">
        <f>D10*(HLOOKUP(B10,'Energy Conv Factors'!$A$6:$M$17,'General Info'!$E$8,FALSE))/1000</f>
        <v>#VALUE!</v>
      </c>
      <c r="F10" s="274" t="e">
        <f>D10*(HLOOKUP('General Info'!$C$6,'Electricity factors'!$B$3:$N$26,'General Info'!$D$8,TRUE))/1000</f>
        <v>#N/A</v>
      </c>
      <c r="G10" s="58"/>
      <c r="H10" s="58"/>
      <c r="I10" s="58"/>
      <c r="J10" s="58"/>
      <c r="K10" s="58"/>
      <c r="L10" s="58"/>
      <c r="M10" s="58"/>
      <c r="N10" s="58"/>
      <c r="O10" s="58"/>
      <c r="P10" s="58"/>
      <c r="Q10" s="58"/>
      <c r="R10" s="58"/>
      <c r="S10" s="58"/>
      <c r="T10" s="58"/>
      <c r="U10" s="58"/>
      <c r="V10" s="58"/>
      <c r="W10" s="58"/>
      <c r="X10" s="58"/>
      <c r="Y10" s="58"/>
      <c r="Z10" s="58"/>
      <c r="AA10" s="58"/>
      <c r="AB10" s="58"/>
      <c r="AC10" s="58"/>
    </row>
    <row r="11" spans="1:29" ht="15.75">
      <c r="A11" s="58"/>
      <c r="B11" s="368" t="s">
        <v>49</v>
      </c>
      <c r="C11" s="134" t="s">
        <v>193</v>
      </c>
      <c r="D11" s="203"/>
      <c r="E11" s="208" t="e">
        <f>D11*(HLOOKUP(B11,'Energy Conv Factors'!$A$6:$M$17,'General Info'!$E$8,FALSE))/1000</f>
        <v>#VALUE!</v>
      </c>
      <c r="F11" s="274" t="e">
        <f>D11*(HLOOKUP('General Info'!$C$6,'Natural gas'!B$1:N$2,2,FALSE))</f>
        <v>#N/A</v>
      </c>
      <c r="G11" s="58"/>
      <c r="H11" s="58"/>
      <c r="I11" s="58"/>
      <c r="J11" s="58"/>
      <c r="K11" s="58"/>
      <c r="L11" s="58"/>
      <c r="M11" s="58"/>
      <c r="N11" s="58"/>
      <c r="O11" s="58"/>
      <c r="P11" s="58"/>
      <c r="Q11" s="58"/>
      <c r="R11" s="58"/>
      <c r="S11" s="58"/>
      <c r="T11" s="58"/>
      <c r="U11" s="58"/>
      <c r="V11" s="58"/>
      <c r="W11" s="58"/>
      <c r="X11" s="58"/>
      <c r="Y11" s="58"/>
      <c r="Z11" s="58"/>
      <c r="AA11" s="58"/>
      <c r="AB11" s="58"/>
      <c r="AC11" s="58"/>
    </row>
    <row r="12" spans="1:29" ht="12.75">
      <c r="A12" s="58"/>
      <c r="B12" s="368" t="s">
        <v>35</v>
      </c>
      <c r="C12" s="202" t="s">
        <v>60</v>
      </c>
      <c r="D12" s="203"/>
      <c r="E12" s="200">
        <f>D12</f>
        <v>0</v>
      </c>
      <c r="F12" s="274">
        <f>(D12*deco2)</f>
        <v>0</v>
      </c>
      <c r="G12" s="58"/>
      <c r="H12" s="58"/>
      <c r="I12" s="58"/>
      <c r="J12" s="58"/>
      <c r="K12" s="58"/>
      <c r="L12" s="58"/>
      <c r="M12" s="58"/>
      <c r="N12" s="58"/>
      <c r="O12" s="58"/>
      <c r="P12" s="58"/>
      <c r="Q12" s="58"/>
      <c r="R12" s="58"/>
      <c r="S12" s="58"/>
      <c r="T12" s="58"/>
      <c r="U12" s="58"/>
      <c r="V12" s="58"/>
      <c r="W12" s="58"/>
      <c r="X12" s="58"/>
      <c r="Y12" s="58"/>
      <c r="Z12" s="58"/>
      <c r="AA12" s="58"/>
      <c r="AB12" s="58"/>
      <c r="AC12" s="58"/>
    </row>
    <row r="13" spans="1:29" ht="12.75">
      <c r="A13" s="58"/>
      <c r="B13" s="368" t="s">
        <v>39</v>
      </c>
      <c r="C13" s="202" t="s">
        <v>61</v>
      </c>
      <c r="D13" s="203"/>
      <c r="E13" s="200" t="e">
        <f>D13*(HLOOKUP(B13,'Energy Conv Factors'!$A$6:$M$17,'General Info'!$E$8,FALSE))/1000</f>
        <v>#VALUE!</v>
      </c>
      <c r="F13" s="274">
        <f>(D13*fueloilco2)</f>
        <v>0</v>
      </c>
      <c r="G13" s="58"/>
      <c r="H13" s="58"/>
      <c r="I13" s="58"/>
      <c r="J13" s="58"/>
      <c r="K13" s="58"/>
      <c r="L13" s="58"/>
      <c r="M13" s="58"/>
      <c r="N13" s="58"/>
      <c r="O13" s="58"/>
      <c r="P13" s="58"/>
      <c r="Q13" s="58"/>
      <c r="R13" s="58"/>
      <c r="S13" s="58"/>
      <c r="T13" s="58"/>
      <c r="U13" s="58"/>
      <c r="V13" s="58"/>
      <c r="W13" s="58"/>
      <c r="X13" s="58"/>
      <c r="Y13" s="58"/>
      <c r="Z13" s="58"/>
      <c r="AA13" s="58"/>
      <c r="AB13" s="58"/>
      <c r="AC13" s="58"/>
    </row>
    <row r="14" spans="1:29" ht="12.75">
      <c r="A14" s="58"/>
      <c r="B14" s="368" t="s">
        <v>34</v>
      </c>
      <c r="C14" s="202" t="s">
        <v>61</v>
      </c>
      <c r="D14" s="203"/>
      <c r="E14" s="200" t="e">
        <f>D14*(HLOOKUP(B14,'Energy Conv Factors'!$A$6:$M$17,'General Info'!$E$8,FALSE))/1000</f>
        <v>#VALUE!</v>
      </c>
      <c r="F14" s="274">
        <f>(D14*stationarydieselco2)</f>
        <v>0</v>
      </c>
      <c r="G14" s="58"/>
      <c r="H14" s="58"/>
      <c r="I14" s="58"/>
      <c r="J14" s="58"/>
      <c r="K14" s="58"/>
      <c r="L14" s="58"/>
      <c r="M14" s="58"/>
      <c r="N14" s="58"/>
      <c r="O14" s="58"/>
      <c r="P14" s="58"/>
      <c r="Q14" s="58"/>
      <c r="R14" s="58"/>
      <c r="S14" s="58"/>
      <c r="T14" s="58"/>
      <c r="U14" s="58"/>
      <c r="V14" s="58"/>
      <c r="W14" s="58"/>
      <c r="X14" s="58"/>
      <c r="Y14" s="58"/>
      <c r="Z14" s="58"/>
      <c r="AA14" s="58"/>
      <c r="AB14" s="58"/>
      <c r="AC14" s="58"/>
    </row>
    <row r="15" spans="1:29" ht="12.75">
      <c r="A15" s="58"/>
      <c r="B15" s="368" t="s">
        <v>51</v>
      </c>
      <c r="C15" s="202" t="s">
        <v>61</v>
      </c>
      <c r="D15" s="203"/>
      <c r="E15" s="200" t="e">
        <f>D15*(HLOOKUP(B15,'Energy Conv Factors'!$A$6:$M$17,'General Info'!$E$8,FALSE))/1000</f>
        <v>#VALUE!</v>
      </c>
      <c r="F15" s="274">
        <f>(D15*propaneco2)</f>
        <v>0</v>
      </c>
      <c r="G15" s="58"/>
      <c r="H15" s="58"/>
      <c r="I15" s="58"/>
      <c r="J15" s="58"/>
      <c r="K15" s="58"/>
      <c r="L15" s="58"/>
      <c r="M15" s="58"/>
      <c r="N15" s="58"/>
      <c r="O15" s="58"/>
      <c r="P15" s="58"/>
      <c r="Q15" s="58"/>
      <c r="R15" s="58"/>
      <c r="S15" s="58"/>
      <c r="T15" s="58"/>
      <c r="U15" s="58"/>
      <c r="V15" s="58"/>
      <c r="W15" s="58"/>
      <c r="X15" s="58"/>
      <c r="Y15" s="58"/>
      <c r="Z15" s="58"/>
      <c r="AA15" s="58"/>
      <c r="AB15" s="58"/>
      <c r="AC15" s="58"/>
    </row>
    <row r="16" spans="1:29" ht="13.5" thickBot="1">
      <c r="A16" s="58"/>
      <c r="B16" s="369" t="s">
        <v>62</v>
      </c>
      <c r="C16" s="204"/>
      <c r="D16" s="190">
        <f>SUM(D10:D15)</f>
        <v>0</v>
      </c>
      <c r="E16" s="190" t="e">
        <f>SUM(E10:E15)</f>
        <v>#VALUE!</v>
      </c>
      <c r="F16" s="190" t="e">
        <f>SUM(F10:F15)</f>
        <v>#N/A</v>
      </c>
      <c r="G16" s="58"/>
      <c r="H16" s="58"/>
      <c r="I16" s="58"/>
      <c r="J16" s="58"/>
      <c r="K16" s="58"/>
      <c r="L16" s="58"/>
      <c r="M16" s="58"/>
      <c r="N16" s="58"/>
      <c r="O16" s="58"/>
      <c r="P16" s="58"/>
      <c r="Q16" s="58"/>
      <c r="R16" s="58"/>
      <c r="S16" s="58"/>
      <c r="T16" s="58"/>
      <c r="U16" s="58"/>
      <c r="V16" s="58"/>
      <c r="W16" s="58"/>
      <c r="X16" s="58"/>
      <c r="Y16" s="58"/>
      <c r="Z16" s="58"/>
      <c r="AA16" s="58"/>
      <c r="AB16" s="58"/>
      <c r="AC16" s="58"/>
    </row>
    <row r="17" spans="1:29" ht="12.7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row>
    <row r="18" spans="1:29" ht="13.5" thickBo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row>
    <row r="19" spans="1:29" ht="13.5">
      <c r="A19" s="58"/>
      <c r="B19" s="442" t="s">
        <v>69</v>
      </c>
      <c r="C19" s="443"/>
      <c r="D19" s="453" t="s">
        <v>70</v>
      </c>
      <c r="E19" s="454"/>
      <c r="F19" s="455"/>
      <c r="G19" s="11" t="s">
        <v>204</v>
      </c>
      <c r="H19" s="58"/>
      <c r="I19" s="58"/>
      <c r="J19" s="58"/>
      <c r="K19" s="58"/>
      <c r="L19" s="58"/>
      <c r="M19" s="58"/>
      <c r="N19" s="58"/>
      <c r="O19" s="58"/>
      <c r="P19" s="58"/>
      <c r="Q19" s="58"/>
      <c r="R19" s="58"/>
      <c r="S19" s="58"/>
      <c r="T19" s="58"/>
      <c r="U19" s="58"/>
      <c r="V19" s="58"/>
      <c r="W19" s="58"/>
      <c r="X19" s="58"/>
      <c r="Y19" s="58"/>
      <c r="Z19" s="58"/>
      <c r="AA19" s="58"/>
      <c r="AB19" s="58"/>
      <c r="AC19" s="58"/>
    </row>
    <row r="20" spans="1:29" ht="12.75">
      <c r="A20" s="58"/>
      <c r="B20" s="446" t="s">
        <v>83</v>
      </c>
      <c r="C20" s="447"/>
      <c r="D20" s="450"/>
      <c r="E20" s="451"/>
      <c r="F20" s="452"/>
      <c r="G20" s="365" t="e">
        <f>F16/D20</f>
        <v>#N/A</v>
      </c>
      <c r="H20" s="58"/>
      <c r="I20" s="58"/>
      <c r="J20" s="58"/>
      <c r="K20" s="58"/>
      <c r="L20" s="58"/>
      <c r="M20" s="58"/>
      <c r="N20" s="58"/>
      <c r="O20" s="58"/>
      <c r="P20" s="58"/>
      <c r="Q20" s="58"/>
      <c r="R20" s="58"/>
      <c r="S20" s="58"/>
      <c r="T20" s="58"/>
      <c r="U20" s="58"/>
      <c r="V20" s="58"/>
      <c r="W20" s="58"/>
      <c r="X20" s="58"/>
      <c r="Y20" s="58"/>
      <c r="Z20" s="58"/>
      <c r="AA20" s="58"/>
      <c r="AB20" s="58"/>
      <c r="AC20" s="58"/>
    </row>
    <row r="21" spans="1:29" ht="13.5" thickBot="1">
      <c r="A21" s="58"/>
      <c r="B21" s="444" t="s">
        <v>84</v>
      </c>
      <c r="C21" s="445"/>
      <c r="D21" s="448"/>
      <c r="E21" s="449"/>
      <c r="F21" s="449"/>
      <c r="G21" s="366" t="e">
        <f>F16/D21</f>
        <v>#N/A</v>
      </c>
      <c r="H21" s="58"/>
      <c r="I21" s="58"/>
      <c r="J21" s="58"/>
      <c r="K21" s="58"/>
      <c r="L21" s="58"/>
      <c r="M21" s="58"/>
      <c r="N21" s="58"/>
      <c r="O21" s="58"/>
      <c r="P21" s="58"/>
      <c r="Q21" s="58"/>
      <c r="R21" s="58"/>
      <c r="S21" s="58"/>
      <c r="T21" s="58"/>
      <c r="U21" s="58"/>
      <c r="V21" s="58"/>
      <c r="W21" s="58"/>
      <c r="X21" s="58"/>
      <c r="Y21" s="58"/>
      <c r="Z21" s="58"/>
      <c r="AA21" s="58"/>
      <c r="AB21" s="58"/>
      <c r="AC21" s="58"/>
    </row>
    <row r="22" spans="1:29" ht="12.7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row>
    <row r="23" spans="1:29" ht="12.7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row>
    <row r="24" spans="1:29" ht="12.7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row>
    <row r="25" spans="1:29" ht="12.7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row>
    <row r="26" spans="1:29" ht="12.7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row>
    <row r="27" spans="1:29" ht="12.7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row>
    <row r="28" spans="1:29" ht="12.7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row>
    <row r="29" spans="1:29" ht="12.7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row>
    <row r="30" spans="1:29" ht="12.7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row>
    <row r="31" spans="1:29" ht="12.7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row>
    <row r="32" spans="1:29"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row>
    <row r="33" spans="1:29"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row>
    <row r="34" spans="1:29" ht="12.7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row>
    <row r="35" spans="1:29"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row>
    <row r="36" spans="1:29" ht="12.7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row>
    <row r="37" spans="1:29"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row>
    <row r="38" spans="1:29" ht="12.7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row>
    <row r="39" spans="1:29"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row>
    <row r="40" spans="1:29" ht="12.7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row>
    <row r="41" spans="1:29" ht="12.7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row>
    <row r="42" spans="1:29" ht="12.7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row>
    <row r="43" spans="1:29" ht="12.7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row>
    <row r="44" spans="1:29" ht="12.7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row>
    <row r="45" spans="1:29" ht="12.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row>
    <row r="46" spans="1:29" ht="12.7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row>
    <row r="47" spans="1:29" ht="12.7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row>
    <row r="48" spans="1:29"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row>
    <row r="49" spans="1:29" ht="12.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row>
    <row r="50" spans="1:29" ht="12.7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row>
    <row r="51" spans="1:29"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row>
    <row r="52" spans="1:29"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row>
    <row r="53" spans="1:29"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row>
    <row r="54" spans="1:29" ht="12.7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row>
    <row r="55" spans="1:29" ht="12.7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row>
    <row r="56" spans="1:29" ht="12.7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row>
    <row r="57" spans="1:29" ht="12.7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row>
    <row r="58" spans="1:29" ht="12.7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row>
    <row r="59" spans="1:29" ht="12.7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row>
    <row r="60" spans="1:29" ht="12.7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row>
    <row r="61" spans="1:29" ht="12.7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row>
    <row r="62" spans="1:29" ht="12.7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row>
    <row r="63" spans="1:29" ht="12.7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row>
    <row r="64" spans="1:29" ht="12.7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row>
    <row r="65" spans="1:29" ht="12.7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row>
    <row r="66" spans="1:29" ht="12.7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row>
    <row r="67" spans="1:29" ht="12.7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row>
    <row r="68" spans="1:29" ht="12.7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row>
  </sheetData>
  <sheetProtection/>
  <mergeCells count="8">
    <mergeCell ref="B3:D3"/>
    <mergeCell ref="C6:H6"/>
    <mergeCell ref="B19:C19"/>
    <mergeCell ref="B21:C21"/>
    <mergeCell ref="B20:C20"/>
    <mergeCell ref="D21:F21"/>
    <mergeCell ref="D20:F20"/>
    <mergeCell ref="D19:F19"/>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Sheet8">
    <tabColor rgb="FFFFFF00"/>
  </sheetPr>
  <dimension ref="A1:AB68"/>
  <sheetViews>
    <sheetView zoomScalePageLayoutView="0" workbookViewId="0" topLeftCell="A1">
      <selection activeCell="C6" sqref="C6:I6"/>
    </sheetView>
  </sheetViews>
  <sheetFormatPr defaultColWidth="9.33203125" defaultRowHeight="12.75"/>
  <cols>
    <col min="1" max="1" width="4.16015625" style="0" customWidth="1"/>
    <col min="2" max="2" width="14.5" style="0" customWidth="1"/>
    <col min="3" max="3" width="9.83203125" style="0" customWidth="1"/>
    <col min="4" max="4" width="10.5" style="0" customWidth="1"/>
    <col min="5" max="5" width="11.66015625" style="0" hidden="1" customWidth="1"/>
    <col min="6" max="6" width="17.16015625" style="0" customWidth="1"/>
    <col min="7" max="7" width="16.33203125" style="0" customWidth="1"/>
    <col min="8" max="8" width="5.16015625" style="0" customWidth="1"/>
  </cols>
  <sheetData>
    <row r="1" spans="1:28" ht="12.7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row>
    <row r="2" spans="1:28" ht="12.7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row>
    <row r="3" spans="1:28" ht="30">
      <c r="A3" s="58"/>
      <c r="B3" s="440" t="s">
        <v>166</v>
      </c>
      <c r="C3" s="416"/>
      <c r="D3" s="416"/>
      <c r="E3" s="181"/>
      <c r="F3" s="58"/>
      <c r="G3" s="58"/>
      <c r="H3" s="58"/>
      <c r="I3" s="58"/>
      <c r="J3" s="58"/>
      <c r="K3" s="58"/>
      <c r="L3" s="58"/>
      <c r="M3" s="58"/>
      <c r="N3" s="58"/>
      <c r="O3" s="58"/>
      <c r="P3" s="58"/>
      <c r="Q3" s="58"/>
      <c r="R3" s="58"/>
      <c r="S3" s="58"/>
      <c r="T3" s="58"/>
      <c r="U3" s="58"/>
      <c r="V3" s="58"/>
      <c r="W3" s="58"/>
      <c r="X3" s="58"/>
      <c r="Y3" s="58"/>
      <c r="Z3" s="58"/>
      <c r="AA3" s="58"/>
      <c r="AB3" s="58"/>
    </row>
    <row r="4" spans="1:28" ht="13.5">
      <c r="A4" s="58"/>
      <c r="B4" s="68" t="s">
        <v>77</v>
      </c>
      <c r="C4" s="60"/>
      <c r="D4" s="60"/>
      <c r="E4" s="60"/>
      <c r="F4" s="58"/>
      <c r="G4" s="58"/>
      <c r="H4" s="58"/>
      <c r="I4" s="58"/>
      <c r="J4" s="58"/>
      <c r="K4" s="58"/>
      <c r="L4" s="58"/>
      <c r="M4" s="58"/>
      <c r="N4" s="58"/>
      <c r="O4" s="58"/>
      <c r="P4" s="58"/>
      <c r="Q4" s="58"/>
      <c r="R4" s="58"/>
      <c r="S4" s="58"/>
      <c r="T4" s="58"/>
      <c r="U4" s="58"/>
      <c r="V4" s="58"/>
      <c r="W4" s="58"/>
      <c r="X4" s="58"/>
      <c r="Y4" s="58"/>
      <c r="Z4" s="58"/>
      <c r="AA4" s="58"/>
      <c r="AB4" s="58"/>
    </row>
    <row r="5" spans="1:28" ht="12.75">
      <c r="A5" s="58"/>
      <c r="B5" s="60"/>
      <c r="C5" s="60"/>
      <c r="D5" s="60"/>
      <c r="E5" s="60"/>
      <c r="F5" s="58"/>
      <c r="G5" s="58"/>
      <c r="H5" s="58"/>
      <c r="I5" s="58"/>
      <c r="J5" s="58"/>
      <c r="K5" s="58"/>
      <c r="L5" s="58"/>
      <c r="M5" s="58"/>
      <c r="N5" s="58"/>
      <c r="O5" s="58"/>
      <c r="P5" s="58"/>
      <c r="Q5" s="58"/>
      <c r="R5" s="58"/>
      <c r="S5" s="58"/>
      <c r="T5" s="58"/>
      <c r="U5" s="58"/>
      <c r="V5" s="58"/>
      <c r="W5" s="58"/>
      <c r="X5" s="58"/>
      <c r="Y5" s="58"/>
      <c r="Z5" s="58"/>
      <c r="AA5" s="58"/>
      <c r="AB5" s="58"/>
    </row>
    <row r="6" spans="1:28" ht="12.75" customHeight="1">
      <c r="A6" s="58"/>
      <c r="B6" s="69" t="s">
        <v>72</v>
      </c>
      <c r="C6" s="441" t="s">
        <v>81</v>
      </c>
      <c r="D6" s="441"/>
      <c r="E6" s="441"/>
      <c r="F6" s="441"/>
      <c r="G6" s="441"/>
      <c r="H6" s="441"/>
      <c r="I6" s="441"/>
      <c r="J6" s="58"/>
      <c r="K6" s="58"/>
      <c r="L6" s="58"/>
      <c r="M6" s="58"/>
      <c r="N6" s="58"/>
      <c r="O6" s="58"/>
      <c r="P6" s="58"/>
      <c r="Q6" s="58"/>
      <c r="R6" s="58"/>
      <c r="S6" s="58"/>
      <c r="T6" s="58"/>
      <c r="U6" s="58"/>
      <c r="V6" s="58"/>
      <c r="W6" s="58"/>
      <c r="X6" s="58"/>
      <c r="Y6" s="58"/>
      <c r="Z6" s="58"/>
      <c r="AA6" s="58"/>
      <c r="AB6" s="58"/>
    </row>
    <row r="7" spans="1:28" ht="12.75" customHeight="1">
      <c r="A7" s="58"/>
      <c r="B7" s="60"/>
      <c r="C7" s="60"/>
      <c r="D7" s="60"/>
      <c r="E7" s="60"/>
      <c r="F7" s="58"/>
      <c r="G7" s="58"/>
      <c r="H7" s="58"/>
      <c r="I7" s="58"/>
      <c r="J7" s="58"/>
      <c r="K7" s="58"/>
      <c r="L7" s="58"/>
      <c r="M7" s="58"/>
      <c r="N7" s="58"/>
      <c r="O7" s="58"/>
      <c r="P7" s="58"/>
      <c r="Q7" s="58"/>
      <c r="R7" s="58"/>
      <c r="S7" s="58"/>
      <c r="T7" s="58"/>
      <c r="U7" s="58"/>
      <c r="V7" s="58"/>
      <c r="W7" s="58"/>
      <c r="X7" s="58"/>
      <c r="Y7" s="58"/>
      <c r="Z7" s="58"/>
      <c r="AA7" s="58"/>
      <c r="AB7" s="58"/>
    </row>
    <row r="8" spans="1:28" ht="13.5" thickBo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row>
    <row r="9" spans="1:28" ht="15" customHeight="1">
      <c r="A9" s="58"/>
      <c r="B9" s="6" t="s">
        <v>71</v>
      </c>
      <c r="C9" s="210" t="s">
        <v>58</v>
      </c>
      <c r="D9" s="210" t="s">
        <v>57</v>
      </c>
      <c r="E9" s="211" t="s">
        <v>230</v>
      </c>
      <c r="F9" s="354" t="s">
        <v>205</v>
      </c>
      <c r="G9" s="58"/>
      <c r="H9" s="58"/>
      <c r="I9" s="58"/>
      <c r="J9" s="58"/>
      <c r="K9" s="58"/>
      <c r="L9" s="58"/>
      <c r="M9" s="58"/>
      <c r="N9" s="58"/>
      <c r="O9" s="58"/>
      <c r="P9" s="58"/>
      <c r="Q9" s="58"/>
      <c r="R9" s="58"/>
      <c r="S9" s="58"/>
      <c r="T9" s="58"/>
      <c r="U9" s="58"/>
      <c r="V9" s="58"/>
      <c r="W9" s="58"/>
      <c r="X9" s="58"/>
      <c r="Y9" s="58"/>
      <c r="Z9" s="58"/>
      <c r="AA9" s="58"/>
      <c r="AB9" s="58"/>
    </row>
    <row r="10" spans="1:28" ht="12.75">
      <c r="A10" s="58"/>
      <c r="B10" s="368" t="s">
        <v>56</v>
      </c>
      <c r="C10" s="202" t="s">
        <v>59</v>
      </c>
      <c r="D10" s="203"/>
      <c r="E10" s="200" t="e">
        <f>D10*(HLOOKUP(B10,'Energy Conv Factors'!$A$6:$M$17,'General Info'!$E$8,FALSE))/1000</f>
        <v>#VALUE!</v>
      </c>
      <c r="F10" s="197" t="e">
        <f>D10*(HLOOKUP('General Info'!C6,'Electricity factors'!B3:N26,'General Info'!D8,TRUE))/1000</f>
        <v>#N/A</v>
      </c>
      <c r="G10" s="58"/>
      <c r="H10" s="58"/>
      <c r="I10" s="58"/>
      <c r="J10" s="58"/>
      <c r="K10" s="58"/>
      <c r="L10" s="58"/>
      <c r="M10" s="58"/>
      <c r="N10" s="58"/>
      <c r="O10" s="58"/>
      <c r="P10" s="58"/>
      <c r="Q10" s="58"/>
      <c r="R10" s="58"/>
      <c r="S10" s="58"/>
      <c r="T10" s="58"/>
      <c r="U10" s="58"/>
      <c r="V10" s="58"/>
      <c r="W10" s="58"/>
      <c r="X10" s="58"/>
      <c r="Y10" s="58"/>
      <c r="Z10" s="58"/>
      <c r="AA10" s="58"/>
      <c r="AB10" s="58"/>
    </row>
    <row r="11" spans="1:28" ht="15.75">
      <c r="A11" s="58"/>
      <c r="B11" s="368" t="s">
        <v>49</v>
      </c>
      <c r="C11" s="134" t="s">
        <v>193</v>
      </c>
      <c r="D11" s="203"/>
      <c r="E11" s="208" t="e">
        <f>D11*(HLOOKUP(B11,'Energy Conv Factors'!$A$6:$M$17,'General Info'!$E$8,FALSE))/1000</f>
        <v>#VALUE!</v>
      </c>
      <c r="F11" s="197" t="e">
        <f>D11*(HLOOKUP('General Info'!$C$6,'Natural gas'!B$1:N$2,2,FALSE))</f>
        <v>#N/A</v>
      </c>
      <c r="G11" s="58"/>
      <c r="H11" s="58"/>
      <c r="I11" s="58"/>
      <c r="J11" s="58"/>
      <c r="K11" s="58"/>
      <c r="L11" s="58"/>
      <c r="M11" s="58"/>
      <c r="N11" s="58"/>
      <c r="O11" s="58"/>
      <c r="P11" s="58"/>
      <c r="Q11" s="58"/>
      <c r="R11" s="58"/>
      <c r="S11" s="58"/>
      <c r="T11" s="58"/>
      <c r="U11" s="58"/>
      <c r="V11" s="58"/>
      <c r="W11" s="58"/>
      <c r="X11" s="58"/>
      <c r="Y11" s="58"/>
      <c r="Z11" s="58"/>
      <c r="AA11" s="58"/>
      <c r="AB11" s="58"/>
    </row>
    <row r="12" spans="1:28" ht="12.75">
      <c r="A12" s="58"/>
      <c r="B12" s="368" t="s">
        <v>35</v>
      </c>
      <c r="C12" s="202" t="s">
        <v>60</v>
      </c>
      <c r="D12" s="203"/>
      <c r="E12" s="200">
        <f>D12</f>
        <v>0</v>
      </c>
      <c r="F12" s="197">
        <f>(D12*deco2)</f>
        <v>0</v>
      </c>
      <c r="G12" s="58"/>
      <c r="H12" s="58"/>
      <c r="I12" s="58"/>
      <c r="J12" s="58"/>
      <c r="K12" s="58"/>
      <c r="L12" s="58"/>
      <c r="M12" s="58"/>
      <c r="N12" s="58"/>
      <c r="O12" s="58"/>
      <c r="P12" s="58"/>
      <c r="Q12" s="58"/>
      <c r="R12" s="58"/>
      <c r="S12" s="58"/>
      <c r="T12" s="58"/>
      <c r="U12" s="58"/>
      <c r="V12" s="58"/>
      <c r="W12" s="58"/>
      <c r="X12" s="58"/>
      <c r="Y12" s="58"/>
      <c r="Z12" s="58"/>
      <c r="AA12" s="58"/>
      <c r="AB12" s="58"/>
    </row>
    <row r="13" spans="1:28" ht="12.75">
      <c r="A13" s="58"/>
      <c r="B13" s="368" t="s">
        <v>39</v>
      </c>
      <c r="C13" s="202" t="s">
        <v>61</v>
      </c>
      <c r="D13" s="203"/>
      <c r="E13" s="200" t="e">
        <f>D13*(HLOOKUP(B13,'Energy Conv Factors'!$A$6:$M$17,'General Info'!$E$8,FALSE))/1000</f>
        <v>#VALUE!</v>
      </c>
      <c r="F13" s="197">
        <f>(D13*fueloilco2)</f>
        <v>0</v>
      </c>
      <c r="G13" s="58"/>
      <c r="H13" s="58"/>
      <c r="I13" s="58"/>
      <c r="J13" s="58"/>
      <c r="K13" s="58"/>
      <c r="L13" s="58"/>
      <c r="M13" s="58"/>
      <c r="N13" s="58"/>
      <c r="O13" s="58"/>
      <c r="P13" s="58"/>
      <c r="Q13" s="58"/>
      <c r="R13" s="58"/>
      <c r="S13" s="58"/>
      <c r="T13" s="58"/>
      <c r="U13" s="58"/>
      <c r="V13" s="58"/>
      <c r="W13" s="58"/>
      <c r="X13" s="58"/>
      <c r="Y13" s="58"/>
      <c r="Z13" s="58"/>
      <c r="AA13" s="58"/>
      <c r="AB13" s="58"/>
    </row>
    <row r="14" spans="1:28" ht="12.75">
      <c r="A14" s="58"/>
      <c r="B14" s="368" t="s">
        <v>34</v>
      </c>
      <c r="C14" s="202" t="s">
        <v>61</v>
      </c>
      <c r="D14" s="203"/>
      <c r="E14" s="200" t="e">
        <f>D14*(HLOOKUP(B14,'Energy Conv Factors'!$A$6:$M$17,'General Info'!$E$8,FALSE))/1000</f>
        <v>#VALUE!</v>
      </c>
      <c r="F14" s="197">
        <f>(D14*stationarydieselco2)</f>
        <v>0</v>
      </c>
      <c r="G14" s="58"/>
      <c r="H14" s="58"/>
      <c r="I14" s="58"/>
      <c r="J14" s="58"/>
      <c r="K14" s="58"/>
      <c r="L14" s="58"/>
      <c r="M14" s="58"/>
      <c r="N14" s="58"/>
      <c r="O14" s="58"/>
      <c r="P14" s="58"/>
      <c r="Q14" s="58"/>
      <c r="R14" s="58"/>
      <c r="S14" s="58"/>
      <c r="T14" s="58"/>
      <c r="U14" s="58"/>
      <c r="V14" s="58"/>
      <c r="W14" s="58"/>
      <c r="X14" s="58"/>
      <c r="Y14" s="58"/>
      <c r="Z14" s="58"/>
      <c r="AA14" s="58"/>
      <c r="AB14" s="58"/>
    </row>
    <row r="15" spans="1:28" ht="12.75">
      <c r="A15" s="58"/>
      <c r="B15" s="368" t="s">
        <v>51</v>
      </c>
      <c r="C15" s="202" t="s">
        <v>61</v>
      </c>
      <c r="D15" s="203"/>
      <c r="E15" s="200" t="e">
        <f>D15*(HLOOKUP(B15,'Energy Conv Factors'!$A$6:$M$17,'General Info'!$E$8,FALSE))/1000</f>
        <v>#VALUE!</v>
      </c>
      <c r="F15" s="197">
        <f>(D15*propaneco2)</f>
        <v>0</v>
      </c>
      <c r="G15" s="58"/>
      <c r="H15" s="58"/>
      <c r="I15" s="58"/>
      <c r="J15" s="58"/>
      <c r="K15" s="58"/>
      <c r="L15" s="58"/>
      <c r="M15" s="58"/>
      <c r="N15" s="58"/>
      <c r="O15" s="58"/>
      <c r="P15" s="58"/>
      <c r="Q15" s="58"/>
      <c r="R15" s="58"/>
      <c r="S15" s="58"/>
      <c r="T15" s="58"/>
      <c r="U15" s="58"/>
      <c r="V15" s="58"/>
      <c r="W15" s="58"/>
      <c r="X15" s="58"/>
      <c r="Y15" s="58"/>
      <c r="Z15" s="58"/>
      <c r="AA15" s="58"/>
      <c r="AB15" s="58"/>
    </row>
    <row r="16" spans="1:28" ht="13.5" thickBot="1">
      <c r="A16" s="58"/>
      <c r="B16" s="4" t="s">
        <v>62</v>
      </c>
      <c r="C16" s="204"/>
      <c r="D16" s="190" t="s">
        <v>112</v>
      </c>
      <c r="E16" s="190" t="e">
        <f>SUM(E10:E15)</f>
        <v>#VALUE!</v>
      </c>
      <c r="F16" s="209" t="e">
        <f>SUM(F10:F15)</f>
        <v>#N/A</v>
      </c>
      <c r="G16" s="58"/>
      <c r="H16" s="58"/>
      <c r="I16" s="58"/>
      <c r="J16" s="58"/>
      <c r="K16" s="58"/>
      <c r="L16" s="58"/>
      <c r="M16" s="58"/>
      <c r="N16" s="58"/>
      <c r="O16" s="58"/>
      <c r="P16" s="58"/>
      <c r="Q16" s="58"/>
      <c r="R16" s="58"/>
      <c r="S16" s="58"/>
      <c r="T16" s="58"/>
      <c r="U16" s="58"/>
      <c r="V16" s="58"/>
      <c r="W16" s="58"/>
      <c r="X16" s="58"/>
      <c r="Y16" s="58"/>
      <c r="Z16" s="58"/>
      <c r="AA16" s="58"/>
      <c r="AB16" s="58"/>
    </row>
    <row r="17" spans="1:28" ht="12.7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row>
    <row r="18" spans="1:28" ht="13.5" thickBo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row>
    <row r="19" spans="1:28" ht="13.5">
      <c r="A19" s="58"/>
      <c r="B19" s="464" t="s">
        <v>69</v>
      </c>
      <c r="C19" s="465"/>
      <c r="D19" s="453" t="s">
        <v>70</v>
      </c>
      <c r="E19" s="454"/>
      <c r="F19" s="455"/>
      <c r="G19" s="466" t="s">
        <v>204</v>
      </c>
      <c r="H19" s="467"/>
      <c r="I19" s="58"/>
      <c r="J19" s="58"/>
      <c r="K19" s="58"/>
      <c r="L19" s="58"/>
      <c r="M19" s="58"/>
      <c r="N19" s="58"/>
      <c r="O19" s="58"/>
      <c r="P19" s="58"/>
      <c r="Q19" s="58"/>
      <c r="R19" s="58"/>
      <c r="S19" s="58"/>
      <c r="T19" s="58"/>
      <c r="U19" s="58"/>
      <c r="V19" s="58"/>
      <c r="W19" s="58"/>
      <c r="X19" s="58"/>
      <c r="Y19" s="58"/>
      <c r="Z19" s="58"/>
      <c r="AA19" s="58"/>
      <c r="AB19" s="58"/>
    </row>
    <row r="20" spans="1:28" ht="14.25">
      <c r="A20" s="58"/>
      <c r="B20" s="462" t="s">
        <v>85</v>
      </c>
      <c r="C20" s="463"/>
      <c r="D20" s="459"/>
      <c r="E20" s="459"/>
      <c r="F20" s="459"/>
      <c r="G20" s="460" t="e">
        <f>F16/D20</f>
        <v>#N/A</v>
      </c>
      <c r="H20" s="461"/>
      <c r="I20" s="58"/>
      <c r="J20" s="58"/>
      <c r="K20" s="58"/>
      <c r="L20" s="58"/>
      <c r="M20" s="58"/>
      <c r="N20" s="58"/>
      <c r="O20" s="58"/>
      <c r="P20" s="58"/>
      <c r="Q20" s="58"/>
      <c r="R20" s="58"/>
      <c r="S20" s="58"/>
      <c r="T20" s="58"/>
      <c r="U20" s="58"/>
      <c r="V20" s="58"/>
      <c r="W20" s="58"/>
      <c r="X20" s="58"/>
      <c r="Y20" s="58"/>
      <c r="Z20" s="58"/>
      <c r="AA20" s="58"/>
      <c r="AB20" s="58"/>
    </row>
    <row r="21" spans="1:28" ht="12.75">
      <c r="A21" s="58"/>
      <c r="B21" s="446" t="s">
        <v>86</v>
      </c>
      <c r="C21" s="447"/>
      <c r="D21" s="459"/>
      <c r="E21" s="459"/>
      <c r="F21" s="459"/>
      <c r="G21" s="460" t="e">
        <f>D21/F16</f>
        <v>#N/A</v>
      </c>
      <c r="H21" s="461"/>
      <c r="I21" s="58"/>
      <c r="J21" s="58"/>
      <c r="K21" s="58"/>
      <c r="L21" s="58"/>
      <c r="M21" s="58"/>
      <c r="N21" s="58"/>
      <c r="O21" s="58"/>
      <c r="P21" s="58"/>
      <c r="Q21" s="58"/>
      <c r="R21" s="58"/>
      <c r="S21" s="58"/>
      <c r="T21" s="58"/>
      <c r="U21" s="58"/>
      <c r="V21" s="58"/>
      <c r="W21" s="58"/>
      <c r="X21" s="58"/>
      <c r="Y21" s="58"/>
      <c r="Z21" s="58"/>
      <c r="AA21" s="58"/>
      <c r="AB21" s="58"/>
    </row>
    <row r="22" spans="1:28" ht="13.5" thickBot="1">
      <c r="A22" s="58"/>
      <c r="B22" s="444" t="s">
        <v>87</v>
      </c>
      <c r="C22" s="445"/>
      <c r="D22" s="456"/>
      <c r="E22" s="456"/>
      <c r="F22" s="456"/>
      <c r="G22" s="457" t="e">
        <f>D22/F16</f>
        <v>#N/A</v>
      </c>
      <c r="H22" s="458"/>
      <c r="I22" s="58"/>
      <c r="J22" s="58"/>
      <c r="K22" s="58"/>
      <c r="L22" s="58"/>
      <c r="M22" s="58"/>
      <c r="N22" s="58"/>
      <c r="O22" s="58"/>
      <c r="P22" s="58"/>
      <c r="Q22" s="58"/>
      <c r="R22" s="58"/>
      <c r="S22" s="58"/>
      <c r="T22" s="58"/>
      <c r="U22" s="58"/>
      <c r="V22" s="58"/>
      <c r="W22" s="58"/>
      <c r="X22" s="58"/>
      <c r="Y22" s="58"/>
      <c r="Z22" s="58"/>
      <c r="AA22" s="58"/>
      <c r="AB22" s="58"/>
    </row>
    <row r="23" spans="1:28" ht="12.7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row>
    <row r="24" spans="1:28" ht="12.7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1:28" ht="12.7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row>
    <row r="26" spans="1:28" ht="12.7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row>
    <row r="27" spans="1:28" ht="12.7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1:28" ht="12.7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1:28" ht="12.7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1:28" ht="12.7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1:28" ht="12.7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1:28"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2.7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1:28" ht="12.7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1:28"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1:28" ht="12.7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1:28"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1:28" ht="12.7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ht="12.7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1:28" ht="12.7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12.7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row>
    <row r="44" spans="1:28" ht="12.7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1:28" ht="12.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row>
    <row r="46" spans="1:28" ht="12.7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row>
    <row r="47" spans="1:28" ht="12.7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row>
    <row r="48" spans="1:28"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row>
    <row r="49" spans="1:28" ht="12.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row>
    <row r="50" spans="1:28" ht="12.7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1:28"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1:28"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1:28"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1:28" ht="12.7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1:28" ht="12.7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1:28" ht="12.7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2:28" ht="12.75">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ht="12.75">
      <c r="E58" s="58"/>
    </row>
    <row r="59" ht="12.75">
      <c r="E59" s="58"/>
    </row>
    <row r="60" ht="12.75">
      <c r="E60" s="58"/>
    </row>
    <row r="61" ht="12.75">
      <c r="E61" s="58"/>
    </row>
    <row r="62" ht="12.75">
      <c r="E62" s="58"/>
    </row>
    <row r="63" ht="12.75">
      <c r="E63" s="58"/>
    </row>
    <row r="64" ht="12.75">
      <c r="E64" s="58"/>
    </row>
    <row r="65" ht="12.75">
      <c r="E65" s="58"/>
    </row>
    <row r="66" ht="12.75">
      <c r="E66" s="58"/>
    </row>
    <row r="67" ht="12.75">
      <c r="E67" s="58"/>
    </row>
    <row r="68" ht="12.75">
      <c r="E68" s="58"/>
    </row>
  </sheetData>
  <sheetProtection/>
  <mergeCells count="14">
    <mergeCell ref="B3:D3"/>
    <mergeCell ref="G21:H21"/>
    <mergeCell ref="B20:C20"/>
    <mergeCell ref="B19:C19"/>
    <mergeCell ref="G19:H19"/>
    <mergeCell ref="C6:I6"/>
    <mergeCell ref="D19:F19"/>
    <mergeCell ref="B22:C22"/>
    <mergeCell ref="D22:F22"/>
    <mergeCell ref="G22:H22"/>
    <mergeCell ref="D20:F20"/>
    <mergeCell ref="G20:H20"/>
    <mergeCell ref="B21:C21"/>
    <mergeCell ref="D21:F21"/>
  </mergeCells>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sheetPr codeName="Sheet9">
    <tabColor rgb="FFFFFF00"/>
  </sheetPr>
  <dimension ref="A1:AG107"/>
  <sheetViews>
    <sheetView zoomScalePageLayoutView="0" workbookViewId="0" topLeftCell="A1">
      <selection activeCell="C6" sqref="C6:I6"/>
    </sheetView>
  </sheetViews>
  <sheetFormatPr defaultColWidth="9.33203125" defaultRowHeight="12.75"/>
  <cols>
    <col min="1" max="1" width="4.16015625" style="0" customWidth="1"/>
    <col min="2" max="2" width="14.5" style="0" customWidth="1"/>
    <col min="3" max="3" width="9.83203125" style="0" customWidth="1"/>
    <col min="4" max="4" width="10.5" style="0" customWidth="1"/>
    <col min="5" max="5" width="11.66015625" style="0" hidden="1" customWidth="1"/>
    <col min="6" max="6" width="15.5" style="0" customWidth="1"/>
    <col min="7" max="7" width="14.66015625" style="0" bestFit="1" customWidth="1"/>
    <col min="8" max="8" width="10.16015625" style="0" customWidth="1"/>
  </cols>
  <sheetData>
    <row r="1" spans="1:33" ht="12.7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row>
    <row r="2" spans="1:33" ht="12.7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row>
    <row r="3" spans="1:31" ht="30">
      <c r="A3" s="58"/>
      <c r="B3" s="440" t="s">
        <v>167</v>
      </c>
      <c r="C3" s="416"/>
      <c r="D3" s="416"/>
      <c r="E3" s="181"/>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1" ht="13.5">
      <c r="A4" s="58"/>
      <c r="B4" s="68" t="s">
        <v>77</v>
      </c>
      <c r="C4" s="60"/>
      <c r="D4" s="60"/>
      <c r="E4" s="60"/>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1" ht="12.75">
      <c r="A5" s="58"/>
      <c r="B5" s="60"/>
      <c r="C5" s="60"/>
      <c r="D5" s="60"/>
      <c r="E5" s="60"/>
      <c r="F5" s="58"/>
      <c r="G5" s="58"/>
      <c r="H5" s="58"/>
      <c r="I5" s="58"/>
      <c r="J5" s="58"/>
      <c r="K5" s="58"/>
      <c r="L5" s="58"/>
      <c r="M5" s="58"/>
      <c r="N5" s="58"/>
      <c r="O5" s="58"/>
      <c r="P5" s="58"/>
      <c r="Q5" s="58"/>
      <c r="R5" s="58"/>
      <c r="S5" s="58"/>
      <c r="T5" s="58"/>
      <c r="U5" s="58"/>
      <c r="V5" s="58"/>
      <c r="W5" s="58"/>
      <c r="X5" s="58"/>
      <c r="Y5" s="58"/>
      <c r="Z5" s="58"/>
      <c r="AA5" s="58"/>
      <c r="AB5" s="58"/>
      <c r="AC5" s="58"/>
      <c r="AD5" s="58"/>
      <c r="AE5" s="58"/>
    </row>
    <row r="6" spans="1:31" ht="12.75" customHeight="1">
      <c r="A6" s="58"/>
      <c r="B6" s="7" t="s">
        <v>72</v>
      </c>
      <c r="C6" s="441" t="s">
        <v>82</v>
      </c>
      <c r="D6" s="441"/>
      <c r="E6" s="441"/>
      <c r="F6" s="441"/>
      <c r="G6" s="441"/>
      <c r="H6" s="441"/>
      <c r="I6" s="441"/>
      <c r="J6" s="58"/>
      <c r="K6" s="58"/>
      <c r="L6" s="58"/>
      <c r="M6" s="58"/>
      <c r="N6" s="58"/>
      <c r="O6" s="58"/>
      <c r="P6" s="58"/>
      <c r="Q6" s="58"/>
      <c r="R6" s="58"/>
      <c r="S6" s="58"/>
      <c r="T6" s="58"/>
      <c r="U6" s="58"/>
      <c r="V6" s="58"/>
      <c r="W6" s="58"/>
      <c r="X6" s="58"/>
      <c r="Y6" s="58"/>
      <c r="Z6" s="58"/>
      <c r="AA6" s="58"/>
      <c r="AB6" s="58"/>
      <c r="AC6" s="58"/>
      <c r="AD6" s="58"/>
      <c r="AE6" s="58"/>
    </row>
    <row r="7" spans="1:31" ht="12.75" customHeight="1">
      <c r="A7" s="58"/>
      <c r="B7" s="60"/>
      <c r="C7" s="60"/>
      <c r="D7" s="60"/>
      <c r="E7" s="60"/>
      <c r="F7" s="58"/>
      <c r="G7" s="58"/>
      <c r="H7" s="58"/>
      <c r="I7" s="58"/>
      <c r="J7" s="58"/>
      <c r="K7" s="58"/>
      <c r="L7" s="58"/>
      <c r="M7" s="58"/>
      <c r="N7" s="58"/>
      <c r="O7" s="58"/>
      <c r="P7" s="58"/>
      <c r="Q7" s="58"/>
      <c r="R7" s="58"/>
      <c r="S7" s="58"/>
      <c r="T7" s="58"/>
      <c r="U7" s="58"/>
      <c r="V7" s="58"/>
      <c r="W7" s="58"/>
      <c r="X7" s="58"/>
      <c r="Y7" s="58"/>
      <c r="Z7" s="58"/>
      <c r="AA7" s="58"/>
      <c r="AB7" s="58"/>
      <c r="AC7" s="58"/>
      <c r="AD7" s="58"/>
      <c r="AE7" s="58"/>
    </row>
    <row r="8" spans="1:31" ht="13.5" thickBo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row>
    <row r="9" spans="1:31" ht="15" customHeight="1">
      <c r="A9" s="58"/>
      <c r="B9" s="6" t="s">
        <v>71</v>
      </c>
      <c r="C9" s="210" t="s">
        <v>58</v>
      </c>
      <c r="D9" s="210" t="s">
        <v>57</v>
      </c>
      <c r="E9" s="211" t="s">
        <v>230</v>
      </c>
      <c r="F9" s="210" t="s">
        <v>205</v>
      </c>
      <c r="G9" s="58"/>
      <c r="H9" s="58"/>
      <c r="I9" s="58"/>
      <c r="J9" s="58"/>
      <c r="K9" s="58"/>
      <c r="L9" s="58"/>
      <c r="M9" s="58"/>
      <c r="N9" s="58"/>
      <c r="O9" s="58"/>
      <c r="P9" s="58"/>
      <c r="Q9" s="58"/>
      <c r="R9" s="58"/>
      <c r="S9" s="58"/>
      <c r="T9" s="58"/>
      <c r="U9" s="58"/>
      <c r="V9" s="58"/>
      <c r="W9" s="58"/>
      <c r="X9" s="58"/>
      <c r="Y9" s="58"/>
      <c r="Z9" s="58"/>
      <c r="AA9" s="58"/>
      <c r="AB9" s="58"/>
      <c r="AC9" s="58"/>
      <c r="AD9" s="58"/>
      <c r="AE9" s="58"/>
    </row>
    <row r="10" spans="1:31" ht="12.75">
      <c r="A10" s="58"/>
      <c r="B10" s="263" t="s">
        <v>56</v>
      </c>
      <c r="C10" s="202" t="s">
        <v>59</v>
      </c>
      <c r="D10" s="203"/>
      <c r="E10" s="200" t="e">
        <f>D10*(HLOOKUP(B10,'Energy Conv Factors'!$A$6:$M$17,'General Info'!$E$8,FALSE))/1000</f>
        <v>#VALUE!</v>
      </c>
      <c r="F10" s="274" t="e">
        <f>D10*(HLOOKUP('General Info'!C6,'Electricity factors'!B3:N26,'General Info'!D8,TRUE))/1000</f>
        <v>#N/A</v>
      </c>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row>
    <row r="11" spans="1:31" ht="15.75">
      <c r="A11" s="58"/>
      <c r="B11" s="263" t="s">
        <v>49</v>
      </c>
      <c r="C11" s="134" t="s">
        <v>193</v>
      </c>
      <c r="D11" s="203"/>
      <c r="E11" s="208" t="e">
        <f>D11*(HLOOKUP(B11,'Energy Conv Factors'!$A$6:$M$17,'General Info'!$E$8,FALSE))/1000</f>
        <v>#VALUE!</v>
      </c>
      <c r="F11" s="274" t="e">
        <f>D11*(HLOOKUP('General Info'!$C$6,'Natural gas'!B$1:N$2,2,FALSE))</f>
        <v>#N/A</v>
      </c>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row>
    <row r="12" spans="1:28" ht="12.75">
      <c r="A12" s="58"/>
      <c r="B12" s="263" t="s">
        <v>35</v>
      </c>
      <c r="C12" s="202" t="s">
        <v>60</v>
      </c>
      <c r="D12" s="203"/>
      <c r="E12" s="200">
        <f>D12</f>
        <v>0</v>
      </c>
      <c r="F12" s="274">
        <f>(D12*deco2)</f>
        <v>0</v>
      </c>
      <c r="G12" s="58"/>
      <c r="H12" s="58"/>
      <c r="I12" s="58"/>
      <c r="J12" s="58"/>
      <c r="K12" s="58"/>
      <c r="L12" s="58"/>
      <c r="M12" s="58"/>
      <c r="N12" s="58"/>
      <c r="O12" s="58"/>
      <c r="P12" s="58"/>
      <c r="Q12" s="58"/>
      <c r="R12" s="58"/>
      <c r="S12" s="58"/>
      <c r="T12" s="58"/>
      <c r="U12" s="58"/>
      <c r="V12" s="58"/>
      <c r="W12" s="58"/>
      <c r="X12" s="58"/>
      <c r="Y12" s="58"/>
      <c r="Z12" s="58"/>
      <c r="AA12" s="58"/>
      <c r="AB12" s="58"/>
    </row>
    <row r="13" spans="1:31" ht="12.75">
      <c r="A13" s="58"/>
      <c r="B13" s="263" t="s">
        <v>39</v>
      </c>
      <c r="C13" s="202" t="s">
        <v>61</v>
      </c>
      <c r="D13" s="203"/>
      <c r="E13" s="200" t="e">
        <f>D13*(HLOOKUP(B13,'Energy Conv Factors'!$A$6:$M$17,'General Info'!$E$8,FALSE))/1000</f>
        <v>#VALUE!</v>
      </c>
      <c r="F13" s="274">
        <f>(D13*fueloilco2)</f>
        <v>0</v>
      </c>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row>
    <row r="14" spans="1:31" ht="12.75">
      <c r="A14" s="58"/>
      <c r="B14" s="263" t="s">
        <v>34</v>
      </c>
      <c r="C14" s="202" t="s">
        <v>61</v>
      </c>
      <c r="D14" s="203"/>
      <c r="E14" s="200" t="e">
        <f>D14*(HLOOKUP(B14,'Energy Conv Factors'!$A$6:$M$17,'General Info'!$E$8,FALSE))/1000</f>
        <v>#VALUE!</v>
      </c>
      <c r="F14" s="274">
        <f>(D14*stationarydieselco2)</f>
        <v>0</v>
      </c>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row>
    <row r="15" spans="1:31" ht="12.75">
      <c r="A15" s="58"/>
      <c r="B15" s="263" t="s">
        <v>51</v>
      </c>
      <c r="C15" s="202" t="s">
        <v>61</v>
      </c>
      <c r="D15" s="203"/>
      <c r="E15" s="200" t="e">
        <f>D15*(HLOOKUP(B15,'Energy Conv Factors'!$A$6:$M$17,'General Info'!$E$8,FALSE))/1000</f>
        <v>#VALUE!</v>
      </c>
      <c r="F15" s="274">
        <f>(D15*propaneco2)</f>
        <v>0</v>
      </c>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row>
    <row r="16" spans="1:31" ht="13.5" thickBot="1">
      <c r="A16" s="58"/>
      <c r="B16" s="367" t="s">
        <v>62</v>
      </c>
      <c r="C16" s="5"/>
      <c r="D16" s="190"/>
      <c r="E16" s="190" t="e">
        <f>SUM(E10:E15)</f>
        <v>#VALUE!</v>
      </c>
      <c r="F16" s="190" t="e">
        <f>SUM(F10:F15)</f>
        <v>#N/A</v>
      </c>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row>
    <row r="17" spans="1:31" ht="12.7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row>
    <row r="18" spans="1:31" ht="13.5" thickBo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row>
    <row r="19" spans="1:31" ht="13.5">
      <c r="A19" s="58"/>
      <c r="B19" s="464" t="s">
        <v>69</v>
      </c>
      <c r="C19" s="465"/>
      <c r="D19" s="453" t="s">
        <v>70</v>
      </c>
      <c r="E19" s="454"/>
      <c r="F19" s="455"/>
      <c r="G19" s="466" t="s">
        <v>204</v>
      </c>
      <c r="H19" s="467"/>
      <c r="I19" s="58"/>
      <c r="J19" s="58"/>
      <c r="K19" s="58"/>
      <c r="L19" s="58"/>
      <c r="M19" s="58"/>
      <c r="N19" s="58"/>
      <c r="O19" s="58"/>
      <c r="P19" s="58"/>
      <c r="Q19" s="58"/>
      <c r="R19" s="58"/>
      <c r="S19" s="58"/>
      <c r="T19" s="58"/>
      <c r="U19" s="58"/>
      <c r="V19" s="58"/>
      <c r="W19" s="58"/>
      <c r="X19" s="58"/>
      <c r="Y19" s="58"/>
      <c r="Z19" s="58"/>
      <c r="AA19" s="58"/>
      <c r="AB19" s="58"/>
      <c r="AC19" s="58"/>
      <c r="AD19" s="58"/>
      <c r="AE19" s="58"/>
    </row>
    <row r="20" spans="1:31" ht="14.25">
      <c r="A20" s="58"/>
      <c r="B20" s="462" t="s">
        <v>85</v>
      </c>
      <c r="C20" s="463"/>
      <c r="D20" s="468"/>
      <c r="E20" s="469"/>
      <c r="F20" s="470"/>
      <c r="G20" s="460" t="e">
        <f>F16/D20</f>
        <v>#N/A</v>
      </c>
      <c r="H20" s="461"/>
      <c r="I20" s="58"/>
      <c r="J20" s="58"/>
      <c r="K20" s="58"/>
      <c r="L20" s="58"/>
      <c r="M20" s="58"/>
      <c r="N20" s="58"/>
      <c r="O20" s="58"/>
      <c r="P20" s="58"/>
      <c r="Q20" s="58"/>
      <c r="R20" s="58"/>
      <c r="S20" s="58"/>
      <c r="T20" s="58"/>
      <c r="U20" s="58"/>
      <c r="V20" s="58"/>
      <c r="W20" s="58"/>
      <c r="X20" s="58"/>
      <c r="Y20" s="58"/>
      <c r="Z20" s="58"/>
      <c r="AA20" s="58"/>
      <c r="AB20" s="58"/>
      <c r="AC20" s="58"/>
      <c r="AD20" s="58"/>
      <c r="AE20" s="58"/>
    </row>
    <row r="21" spans="1:31" ht="12.75">
      <c r="A21" s="58"/>
      <c r="B21" s="446" t="s">
        <v>86</v>
      </c>
      <c r="C21" s="447"/>
      <c r="D21" s="468"/>
      <c r="E21" s="469"/>
      <c r="F21" s="470"/>
      <c r="G21" s="460" t="e">
        <f>F16/D22</f>
        <v>#N/A</v>
      </c>
      <c r="H21" s="461"/>
      <c r="I21" s="58"/>
      <c r="J21" s="58"/>
      <c r="K21" s="58"/>
      <c r="L21" s="58"/>
      <c r="M21" s="58"/>
      <c r="N21" s="58"/>
      <c r="O21" s="58"/>
      <c r="P21" s="58"/>
      <c r="Q21" s="58"/>
      <c r="R21" s="58"/>
      <c r="S21" s="58"/>
      <c r="T21" s="58"/>
      <c r="U21" s="58"/>
      <c r="V21" s="58"/>
      <c r="W21" s="58"/>
      <c r="X21" s="58"/>
      <c r="Y21" s="58"/>
      <c r="Z21" s="58"/>
      <c r="AA21" s="58"/>
      <c r="AB21" s="58"/>
      <c r="AC21" s="58"/>
      <c r="AD21" s="58"/>
      <c r="AE21" s="58"/>
    </row>
    <row r="22" spans="1:31" ht="13.5" thickBot="1">
      <c r="A22" s="58"/>
      <c r="B22" s="444" t="s">
        <v>87</v>
      </c>
      <c r="C22" s="445"/>
      <c r="D22" s="471"/>
      <c r="E22" s="472"/>
      <c r="F22" s="473"/>
      <c r="G22" s="457" t="e">
        <f>F16/D22</f>
        <v>#N/A</v>
      </c>
      <c r="H22" s="458"/>
      <c r="I22" s="58"/>
      <c r="J22" s="58"/>
      <c r="K22" s="58"/>
      <c r="L22" s="58"/>
      <c r="M22" s="58"/>
      <c r="N22" s="58"/>
      <c r="O22" s="58"/>
      <c r="P22" s="58"/>
      <c r="Q22" s="58"/>
      <c r="R22" s="58"/>
      <c r="S22" s="58"/>
      <c r="T22" s="58"/>
      <c r="U22" s="58"/>
      <c r="V22" s="58"/>
      <c r="W22" s="58"/>
      <c r="X22" s="58"/>
      <c r="Y22" s="58"/>
      <c r="Z22" s="58"/>
      <c r="AA22" s="58"/>
      <c r="AB22" s="58"/>
      <c r="AC22" s="58"/>
      <c r="AD22" s="58"/>
      <c r="AE22" s="58"/>
    </row>
    <row r="23" spans="1:31" ht="12.7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row>
    <row r="24" spans="1:31" ht="12.7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row>
    <row r="25" spans="1:31" ht="12.7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row>
    <row r="26" spans="1:31" ht="12.7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row>
    <row r="27" spans="1:31" ht="12.7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row>
    <row r="28" spans="1:31" ht="12.7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row>
    <row r="29" spans="1:31" ht="12.7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row>
    <row r="30" spans="1:31" ht="12.7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row>
    <row r="31" spans="1:31" ht="12.7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row>
    <row r="32" spans="1:31"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row>
    <row r="33" spans="1:31"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1:31" ht="12.7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1"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row>
    <row r="36" spans="1:31" ht="12.7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row>
    <row r="37" spans="1:31"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row>
    <row r="38" spans="1:31" ht="12.7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row>
    <row r="39" spans="1:31"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row>
    <row r="40" spans="1:31" ht="12.7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row>
    <row r="41" spans="1:31" ht="12.7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row>
    <row r="42" spans="1:31" ht="12.7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row>
    <row r="43" spans="1:31" ht="12.7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row>
    <row r="44" spans="1:31" ht="12.7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row>
    <row r="45" spans="1:31" ht="12.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row>
    <row r="46" spans="1:31" ht="12.7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row>
    <row r="47" spans="1:31" ht="12.7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row>
    <row r="48" spans="1:31"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row>
    <row r="49" spans="1:31" ht="12.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row>
    <row r="50" spans="1:31" ht="12.7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row>
    <row r="51" spans="1:31"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row>
    <row r="52" spans="1:31"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row>
    <row r="53" spans="1:31"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row>
    <row r="54" spans="1:31" ht="12.7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row>
    <row r="55" spans="1:31" ht="12.7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row>
    <row r="56" spans="1:31" ht="12.7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row>
    <row r="57" spans="1:31" ht="12.7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row>
    <row r="58" spans="1:31" ht="12.7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row>
    <row r="59" spans="2:31" ht="12.75">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2:31" ht="12.75">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row>
    <row r="61" spans="2:31" ht="12.75">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row>
    <row r="62" spans="2:31" ht="12.75">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row>
    <row r="63" spans="2:31" ht="12.75">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row>
    <row r="64" spans="2:31" ht="12.75">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row>
    <row r="65" spans="2:31" ht="12.75">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row>
    <row r="66" spans="2:31" ht="12.75">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row>
    <row r="67" spans="2:31" ht="12.75">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row>
    <row r="68" spans="2:31" ht="12.75">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row>
    <row r="69" spans="2:31" ht="12.75">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row>
    <row r="70" spans="2:31" ht="12.75">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row>
    <row r="71" spans="2:31" ht="12.75">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row>
    <row r="72" spans="2:31" ht="12.75">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row>
    <row r="73" spans="2:31" ht="12.75">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row>
    <row r="74" spans="2:31" ht="12.75">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row>
    <row r="75" spans="2:31" ht="12.75">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row>
    <row r="76" spans="2:31" ht="12.75">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row>
    <row r="77" spans="2:31" ht="12.75">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row>
    <row r="78" spans="2:31" ht="12.75">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row>
    <row r="79" spans="2:31" ht="12.75">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row>
    <row r="80" spans="2:31" ht="12.75">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row>
    <row r="81" spans="2:31" ht="12.75">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row>
    <row r="82" spans="2:31" ht="12.75">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row>
    <row r="83" spans="2:31" ht="12.75">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row>
    <row r="84" spans="2:31" ht="12.75">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row>
    <row r="85" spans="2:31" ht="12.75">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row>
    <row r="86" spans="2:31" ht="12.75">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row>
    <row r="87" spans="2:31" ht="12.75">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row>
    <row r="88" spans="2:31" ht="12.75">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row>
    <row r="89" spans="2:31" ht="12.75">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row>
    <row r="90" spans="2:31" ht="12.75">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row>
    <row r="91" spans="2:31" ht="12.75">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row>
    <row r="92" spans="2:31" ht="12.75">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row>
    <row r="93" spans="2:31" ht="12.75">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row>
    <row r="94" spans="2:31" ht="12.75">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row>
    <row r="95" spans="2:31" ht="12.75">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row>
    <row r="96" spans="2:31" ht="12.75">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row>
    <row r="97" spans="2:31" ht="12.75">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row>
    <row r="98" spans="2:31" ht="12.75">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row>
    <row r="99" spans="2:31" ht="12.75">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row>
    <row r="100" spans="2:31" ht="12.75">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row>
    <row r="101" spans="2:31" ht="12.75">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row>
    <row r="102" spans="2:31" ht="12.75">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row>
    <row r="103" spans="2:31" ht="12.75">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row>
    <row r="104" spans="2:31" ht="12.75">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row>
    <row r="105" spans="2:31" ht="12.75">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row>
    <row r="106" spans="2:31" ht="12.75">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row>
    <row r="107" spans="2:31" ht="12.75">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row>
  </sheetData>
  <sheetProtection/>
  <mergeCells count="14">
    <mergeCell ref="D21:F21"/>
    <mergeCell ref="D22:F22"/>
    <mergeCell ref="B19:C19"/>
    <mergeCell ref="G19:H19"/>
    <mergeCell ref="B3:D3"/>
    <mergeCell ref="C6:I6"/>
    <mergeCell ref="B22:C22"/>
    <mergeCell ref="G22:H22"/>
    <mergeCell ref="G20:H20"/>
    <mergeCell ref="B21:C21"/>
    <mergeCell ref="G21:H21"/>
    <mergeCell ref="D19:F19"/>
    <mergeCell ref="B20:C20"/>
    <mergeCell ref="D20:F20"/>
  </mergeCells>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sheetPr codeName="Sheet10">
    <tabColor rgb="FFFFFF00"/>
    <pageSetUpPr fitToPage="1"/>
  </sheetPr>
  <dimension ref="A1:Z94"/>
  <sheetViews>
    <sheetView zoomScalePageLayoutView="0" workbookViewId="0" topLeftCell="A1">
      <selection activeCell="C8" sqref="C8:J8"/>
    </sheetView>
  </sheetViews>
  <sheetFormatPr defaultColWidth="9.33203125" defaultRowHeight="12.75"/>
  <cols>
    <col min="1" max="1" width="4.16015625" style="0" customWidth="1"/>
    <col min="2" max="2" width="23.16015625" style="0" customWidth="1"/>
    <col min="3" max="3" width="12.66015625" style="0" customWidth="1"/>
    <col min="4" max="4" width="15.66015625" style="0" customWidth="1"/>
    <col min="5" max="5" width="14.5" style="0" customWidth="1"/>
    <col min="6" max="6" width="9.33203125" style="0" customWidth="1"/>
    <col min="7" max="7" width="13.83203125" style="0" customWidth="1"/>
    <col min="8" max="8" width="19.16015625" style="0" customWidth="1"/>
    <col min="9" max="9" width="9.83203125" style="0" hidden="1" customWidth="1"/>
    <col min="10" max="10" width="8.33203125" style="0" customWidth="1"/>
    <col min="11" max="11" width="4.83203125" style="0" customWidth="1"/>
    <col min="12" max="12" width="25.66015625" style="0" customWidth="1"/>
    <col min="13" max="13" width="7.5" style="0" bestFit="1" customWidth="1"/>
    <col min="14" max="14" width="12.5" style="0" bestFit="1" customWidth="1"/>
    <col min="15" max="15" width="12.83203125" style="0" bestFit="1" customWidth="1"/>
    <col min="16" max="16" width="8.16015625" style="0" bestFit="1" customWidth="1"/>
    <col min="17" max="17" width="10" style="0" bestFit="1" customWidth="1"/>
  </cols>
  <sheetData>
    <row r="1" spans="1:26" ht="12.75">
      <c r="A1" s="58"/>
      <c r="B1" s="58"/>
      <c r="C1" s="58"/>
      <c r="D1" s="58"/>
      <c r="E1" s="58"/>
      <c r="F1" s="58"/>
      <c r="G1" s="58"/>
      <c r="H1" s="58"/>
      <c r="I1" s="58"/>
      <c r="J1" s="58"/>
      <c r="K1" s="58"/>
      <c r="L1" s="58"/>
      <c r="M1" s="58"/>
      <c r="N1" s="58"/>
      <c r="O1" s="58"/>
      <c r="P1" s="58"/>
      <c r="Q1" s="58"/>
      <c r="R1" s="58"/>
      <c r="S1" s="58"/>
      <c r="T1" s="58"/>
      <c r="U1" s="58"/>
      <c r="V1" s="58"/>
      <c r="W1" s="58"/>
      <c r="X1" s="58"/>
      <c r="Y1" s="58"/>
      <c r="Z1" s="58"/>
    </row>
    <row r="2" spans="1:26" ht="12.75">
      <c r="A2" s="58"/>
      <c r="B2" s="58"/>
      <c r="C2" s="58"/>
      <c r="D2" s="58"/>
      <c r="E2" s="58"/>
      <c r="F2" s="58"/>
      <c r="G2" s="58"/>
      <c r="H2" s="58"/>
      <c r="I2" s="58"/>
      <c r="J2" s="58"/>
      <c r="K2" s="58"/>
      <c r="L2" s="58"/>
      <c r="M2" s="58"/>
      <c r="N2" s="58"/>
      <c r="O2" s="58"/>
      <c r="P2" s="58"/>
      <c r="Q2" s="58"/>
      <c r="R2" s="58"/>
      <c r="S2" s="58"/>
      <c r="T2" s="58"/>
      <c r="U2" s="58"/>
      <c r="V2" s="58"/>
      <c r="W2" s="58"/>
      <c r="X2" s="58"/>
      <c r="Y2" s="58"/>
      <c r="Z2" s="58"/>
    </row>
    <row r="3" spans="1:26" ht="30">
      <c r="A3" s="58"/>
      <c r="B3" s="440" t="s">
        <v>168</v>
      </c>
      <c r="C3" s="416"/>
      <c r="D3" s="416"/>
      <c r="E3" s="58"/>
      <c r="F3" s="58"/>
      <c r="G3" s="213"/>
      <c r="H3" s="215"/>
      <c r="I3" s="244">
        <f>IF($E$12=0,$D$50,$G$21)</f>
        <v>0</v>
      </c>
      <c r="J3" s="244">
        <f>IF($E$12=0,$D$42,$G$16)</f>
        <v>0</v>
      </c>
      <c r="K3" s="244">
        <f>IF($E$12=0,$D$43,$G$17)</f>
        <v>0</v>
      </c>
      <c r="L3" s="244">
        <f>IF($E$12=0,$D$44,$G$18)</f>
        <v>0</v>
      </c>
      <c r="M3" s="244">
        <f>IF($E$12=0,$D$45,$G$19)</f>
        <v>0</v>
      </c>
      <c r="N3" s="244">
        <f>IF($E$12=0,$D$46,$G$20)</f>
        <v>0</v>
      </c>
      <c r="O3" s="244">
        <f>IF($E$12=0,$D$47,$G$22)</f>
        <v>0</v>
      </c>
      <c r="P3" s="244">
        <f>IF($E$12=0,$D$48,$G$22)</f>
        <v>0</v>
      </c>
      <c r="Q3" s="244">
        <f>IF($E$12=0,$D$49,$G$22)</f>
        <v>0</v>
      </c>
      <c r="R3" s="58"/>
      <c r="S3" s="58"/>
      <c r="T3" s="58"/>
      <c r="U3" s="58"/>
      <c r="V3" s="58"/>
      <c r="W3" s="58"/>
      <c r="X3" s="58"/>
      <c r="Y3" s="58"/>
      <c r="Z3" s="58"/>
    </row>
    <row r="4" spans="1:26" ht="12.75">
      <c r="A4" s="58"/>
      <c r="B4" s="71" t="s">
        <v>77</v>
      </c>
      <c r="C4" s="58"/>
      <c r="D4" s="58"/>
      <c r="E4" s="58"/>
      <c r="F4" s="58"/>
      <c r="G4" s="58"/>
      <c r="H4" s="58"/>
      <c r="I4" s="245" t="e">
        <f>IF($E$12=0,$E$50,$I$21)</f>
        <v>#VALUE!</v>
      </c>
      <c r="J4" s="245">
        <f>IF($E$12=0,$C$42,$H$16)</f>
        <v>0</v>
      </c>
      <c r="K4" s="245">
        <f>IF($E$12=0,$C$43,$H$17)</f>
        <v>0</v>
      </c>
      <c r="L4" s="245">
        <f>IF($E$12=0,$C$44,$H$18)</f>
        <v>0</v>
      </c>
      <c r="M4" s="245">
        <f>IF($E$12=0,$C$45,$H$19)</f>
        <v>0</v>
      </c>
      <c r="N4" s="245">
        <f>IF($E$12=0,$C$46,$H$20)</f>
        <v>0</v>
      </c>
      <c r="O4" s="245">
        <f>IF($E$12=0,$C$47,$H$22)</f>
        <v>0</v>
      </c>
      <c r="P4" s="245">
        <f>IF($E$12=0,$C$48,$H$22)</f>
        <v>0</v>
      </c>
      <c r="Q4" s="245">
        <f>IF($E$12=0,$C$49,$H$22)</f>
        <v>0</v>
      </c>
      <c r="R4" s="58"/>
      <c r="S4" s="58"/>
      <c r="T4" s="58"/>
      <c r="U4" s="58"/>
      <c r="V4" s="58"/>
      <c r="W4" s="58"/>
      <c r="X4" s="58"/>
      <c r="Y4" s="58"/>
      <c r="Z4" s="58"/>
    </row>
    <row r="5" spans="1:26" ht="12.75">
      <c r="A5" s="58"/>
      <c r="B5" s="58"/>
      <c r="C5" s="58"/>
      <c r="D5" s="58"/>
      <c r="E5" s="58"/>
      <c r="F5" s="58"/>
      <c r="G5" s="58"/>
      <c r="H5" s="58"/>
      <c r="I5" s="58"/>
      <c r="J5" s="58"/>
      <c r="K5" s="58"/>
      <c r="L5" s="58"/>
      <c r="M5" s="58"/>
      <c r="N5" s="58"/>
      <c r="O5" s="58"/>
      <c r="P5" s="58"/>
      <c r="Q5" s="58"/>
      <c r="R5" s="58"/>
      <c r="S5" s="58"/>
      <c r="T5" s="58"/>
      <c r="U5" s="58"/>
      <c r="V5" s="58"/>
      <c r="W5" s="58"/>
      <c r="X5" s="58"/>
      <c r="Y5" s="58"/>
      <c r="Z5" s="58"/>
    </row>
    <row r="6" spans="1:26" ht="12.75">
      <c r="A6" s="58"/>
      <c r="B6" s="179" t="s">
        <v>252</v>
      </c>
      <c r="C6" s="58"/>
      <c r="D6" s="58"/>
      <c r="E6" s="58"/>
      <c r="F6" s="58"/>
      <c r="G6" s="58"/>
      <c r="H6" s="58"/>
      <c r="I6" s="58"/>
      <c r="J6" s="58"/>
      <c r="K6" s="58"/>
      <c r="L6" s="58"/>
      <c r="M6" s="58"/>
      <c r="N6" s="58"/>
      <c r="O6" s="58"/>
      <c r="P6" s="58"/>
      <c r="Q6" s="58"/>
      <c r="R6" s="58"/>
      <c r="S6" s="58"/>
      <c r="T6" s="58"/>
      <c r="U6" s="58"/>
      <c r="V6" s="58"/>
      <c r="W6" s="58"/>
      <c r="X6" s="58"/>
      <c r="Y6" s="58"/>
      <c r="Z6" s="58"/>
    </row>
    <row r="7" spans="1:26" ht="12.75">
      <c r="A7" s="58"/>
      <c r="B7" s="179"/>
      <c r="C7" s="58"/>
      <c r="D7" s="58"/>
      <c r="E7" s="58"/>
      <c r="F7" s="58"/>
      <c r="G7" s="58"/>
      <c r="H7" s="58"/>
      <c r="I7" s="58"/>
      <c r="J7" s="58"/>
      <c r="K7" s="58"/>
      <c r="L7" s="58"/>
      <c r="M7" s="58"/>
      <c r="N7" s="58"/>
      <c r="O7" s="58"/>
      <c r="P7" s="58"/>
      <c r="Q7" s="58"/>
      <c r="R7" s="58"/>
      <c r="S7" s="58"/>
      <c r="T7" s="58"/>
      <c r="U7" s="58"/>
      <c r="V7" s="58"/>
      <c r="W7" s="58"/>
      <c r="X7" s="58"/>
      <c r="Y7" s="58"/>
      <c r="Z7" s="58"/>
    </row>
    <row r="8" spans="1:26" ht="12.75">
      <c r="A8" s="58"/>
      <c r="B8" s="75" t="s">
        <v>72</v>
      </c>
      <c r="C8" s="476" t="s">
        <v>89</v>
      </c>
      <c r="D8" s="476"/>
      <c r="E8" s="476"/>
      <c r="F8" s="476"/>
      <c r="G8" s="476"/>
      <c r="H8" s="476"/>
      <c r="I8" s="476"/>
      <c r="J8" s="476"/>
      <c r="K8" s="58"/>
      <c r="L8" s="58"/>
      <c r="M8" s="58"/>
      <c r="N8" s="58"/>
      <c r="O8" s="58"/>
      <c r="P8" s="58"/>
      <c r="Q8" s="58"/>
      <c r="R8" s="58"/>
      <c r="S8" s="58"/>
      <c r="T8" s="58"/>
      <c r="U8" s="58"/>
      <c r="V8" s="58"/>
      <c r="W8" s="58"/>
      <c r="X8" s="58"/>
      <c r="Y8" s="58"/>
      <c r="Z8" s="58"/>
    </row>
    <row r="9" spans="1:26" ht="12.75">
      <c r="A9" s="58"/>
      <c r="B9" s="58"/>
      <c r="C9" s="58"/>
      <c r="D9" s="58"/>
      <c r="E9" s="58"/>
      <c r="F9" s="58"/>
      <c r="H9" s="58"/>
      <c r="I9" s="58"/>
      <c r="J9" s="58"/>
      <c r="K9" s="58"/>
      <c r="L9" s="58"/>
      <c r="M9" s="58"/>
      <c r="N9" s="58"/>
      <c r="O9" s="58"/>
      <c r="P9" s="58"/>
      <c r="Q9" s="58"/>
      <c r="R9" s="58"/>
      <c r="S9" s="58"/>
      <c r="T9" s="58"/>
      <c r="U9" s="58"/>
      <c r="V9" s="58"/>
      <c r="W9" s="58"/>
      <c r="X9" s="58"/>
      <c r="Y9" s="58"/>
      <c r="Z9" s="58"/>
    </row>
    <row r="10" spans="1:26" ht="21" customHeight="1">
      <c r="A10" s="207"/>
      <c r="B10" s="214" t="s">
        <v>298</v>
      </c>
      <c r="C10" s="207"/>
      <c r="D10" s="207"/>
      <c r="E10" s="207"/>
      <c r="F10" s="207"/>
      <c r="G10" s="207"/>
      <c r="H10" s="207"/>
      <c r="I10" s="207"/>
      <c r="J10" s="207"/>
      <c r="K10" s="207"/>
      <c r="L10" s="207"/>
      <c r="M10" s="207"/>
      <c r="N10" s="207"/>
      <c r="O10" s="207"/>
      <c r="P10" s="207"/>
      <c r="Q10" s="207"/>
      <c r="R10" s="207"/>
      <c r="S10" s="207"/>
      <c r="T10" s="58"/>
      <c r="U10" s="58"/>
      <c r="V10" s="58"/>
      <c r="W10" s="58"/>
      <c r="X10" s="58"/>
      <c r="Y10" s="58"/>
      <c r="Z10" s="58"/>
    </row>
    <row r="11" spans="1:19" s="58" customFormat="1" ht="15" customHeight="1">
      <c r="A11" s="213"/>
      <c r="B11" s="213"/>
      <c r="C11" s="213"/>
      <c r="D11" s="213"/>
      <c r="E11" s="213"/>
      <c r="F11" s="213"/>
      <c r="G11" s="213"/>
      <c r="H11" s="213"/>
      <c r="I11" s="213"/>
      <c r="J11" s="213"/>
      <c r="K11" s="213"/>
      <c r="L11" s="213"/>
      <c r="M11" s="213"/>
      <c r="N11" s="213"/>
      <c r="O11" s="213"/>
      <c r="P11" s="213"/>
      <c r="Q11" s="213"/>
      <c r="R11" s="213"/>
      <c r="S11" s="213"/>
    </row>
    <row r="12" spans="1:26" ht="12.75">
      <c r="A12" s="58"/>
      <c r="B12" s="60" t="s">
        <v>95</v>
      </c>
      <c r="C12" s="60"/>
      <c r="D12" s="60"/>
      <c r="E12" s="331"/>
      <c r="F12" s="58"/>
      <c r="H12" s="58"/>
      <c r="I12" s="58"/>
      <c r="J12" s="58"/>
      <c r="K12" s="58"/>
      <c r="L12" s="58"/>
      <c r="M12" s="58"/>
      <c r="N12" s="58"/>
      <c r="O12" s="58"/>
      <c r="P12" s="58"/>
      <c r="Q12" s="58"/>
      <c r="R12" s="58"/>
      <c r="S12" s="58"/>
      <c r="T12" s="58"/>
      <c r="U12" s="58"/>
      <c r="V12" s="58"/>
      <c r="W12" s="58"/>
      <c r="X12" s="58"/>
      <c r="Y12" s="58"/>
      <c r="Z12" s="58"/>
    </row>
    <row r="13" spans="1:26" ht="13.5" thickBot="1">
      <c r="A13" s="58"/>
      <c r="B13" s="58"/>
      <c r="C13" s="58"/>
      <c r="D13" s="58"/>
      <c r="E13" s="58"/>
      <c r="F13" s="58"/>
      <c r="G13" s="58" t="s">
        <v>145</v>
      </c>
      <c r="H13" s="58"/>
      <c r="I13" s="58"/>
      <c r="J13" s="58"/>
      <c r="K13" s="58"/>
      <c r="L13" s="71" t="s">
        <v>90</v>
      </c>
      <c r="M13" s="58"/>
      <c r="N13" s="58"/>
      <c r="O13" s="58"/>
      <c r="P13" s="58"/>
      <c r="Q13" s="58"/>
      <c r="R13" s="58"/>
      <c r="S13" s="58"/>
      <c r="T13" s="58"/>
      <c r="U13" s="58"/>
      <c r="V13" s="58"/>
      <c r="W13" s="58"/>
      <c r="X13" s="58"/>
      <c r="Y13" s="58"/>
      <c r="Z13" s="58"/>
    </row>
    <row r="14" spans="1:26" ht="15" thickBot="1">
      <c r="A14" s="58"/>
      <c r="B14" s="71" t="s">
        <v>208</v>
      </c>
      <c r="C14" s="58"/>
      <c r="D14" s="58"/>
      <c r="E14" s="58"/>
      <c r="F14" s="58"/>
      <c r="G14" s="58"/>
      <c r="H14" s="58"/>
      <c r="I14" s="58"/>
      <c r="J14" s="58"/>
      <c r="K14" s="58"/>
      <c r="L14" s="6"/>
      <c r="M14" s="210" t="s">
        <v>154</v>
      </c>
      <c r="N14" s="210" t="s">
        <v>92</v>
      </c>
      <c r="O14" s="210" t="s">
        <v>93</v>
      </c>
      <c r="P14" s="210" t="s">
        <v>94</v>
      </c>
      <c r="Q14" s="354" t="s">
        <v>62</v>
      </c>
      <c r="R14" s="58"/>
      <c r="S14" s="58"/>
      <c r="T14" s="58"/>
      <c r="U14" s="58"/>
      <c r="V14" s="58"/>
      <c r="W14" s="58"/>
      <c r="X14" s="58"/>
      <c r="Y14" s="58"/>
      <c r="Z14" s="58"/>
    </row>
    <row r="15" spans="1:26" ht="24">
      <c r="A15" s="58"/>
      <c r="B15" s="6"/>
      <c r="C15" s="210" t="s">
        <v>91</v>
      </c>
      <c r="D15" s="210" t="s">
        <v>92</v>
      </c>
      <c r="E15" s="210" t="s">
        <v>93</v>
      </c>
      <c r="F15" s="210" t="s">
        <v>94</v>
      </c>
      <c r="G15" s="352" t="s">
        <v>62</v>
      </c>
      <c r="H15" s="353" t="s">
        <v>157</v>
      </c>
      <c r="I15" s="201" t="s">
        <v>230</v>
      </c>
      <c r="J15" s="58"/>
      <c r="K15" s="58"/>
      <c r="L15" s="3" t="s">
        <v>40</v>
      </c>
      <c r="M15" s="170">
        <v>0.5317</v>
      </c>
      <c r="N15" s="170">
        <v>0.3267</v>
      </c>
      <c r="O15" s="170">
        <v>0.012</v>
      </c>
      <c r="P15" s="170">
        <v>0</v>
      </c>
      <c r="Q15" s="171">
        <f>SUM(M15:P15)</f>
        <v>0.8704</v>
      </c>
      <c r="R15" s="58"/>
      <c r="S15" s="58"/>
      <c r="T15" s="58"/>
      <c r="U15" s="58"/>
      <c r="V15" s="58"/>
      <c r="W15" s="58"/>
      <c r="X15" s="58"/>
      <c r="Y15" s="58"/>
      <c r="Z15" s="58"/>
    </row>
    <row r="16" spans="1:26" ht="12.75">
      <c r="A16" s="58"/>
      <c r="B16" s="3" t="s">
        <v>40</v>
      </c>
      <c r="C16" s="274">
        <f>($E$12*M15*M25/100*gasco2)</f>
        <v>0</v>
      </c>
      <c r="D16" s="274">
        <f>($E$12*N15*N25/100*gasco2)</f>
        <v>0</v>
      </c>
      <c r="E16" s="274">
        <f>($E$12*O15*O25/100*gasco2)</f>
        <v>0</v>
      </c>
      <c r="F16" s="274">
        <f>($E$12*P15*P25/100*gasco2)</f>
        <v>0</v>
      </c>
      <c r="G16" s="224">
        <f>SUM(C16:F16)</f>
        <v>0</v>
      </c>
      <c r="H16" s="191">
        <f>(E12*M15*M25/100)+(E12*N15*N25/100)+(E12*O15*O25/100)+(E12*P15*P25/100)</f>
        <v>0</v>
      </c>
      <c r="I16" s="198">
        <f>IF(H16=0,0,H16*(HLOOKUP(B16,'Energy Conv Factors'!$A$6:$M$17,'General Info'!$E$8,FALSE))/1000)</f>
        <v>0</v>
      </c>
      <c r="J16" s="58"/>
      <c r="K16" s="58"/>
      <c r="L16" s="3" t="s">
        <v>34</v>
      </c>
      <c r="M16" s="170">
        <v>0.0015</v>
      </c>
      <c r="N16" s="170">
        <v>0.0093</v>
      </c>
      <c r="O16" s="170">
        <v>0.1059</v>
      </c>
      <c r="P16" s="170">
        <v>0.0001</v>
      </c>
      <c r="Q16" s="171">
        <f>SUM(M16:P16)</f>
        <v>0.1168</v>
      </c>
      <c r="R16" s="58"/>
      <c r="S16" s="58"/>
      <c r="T16" s="58"/>
      <c r="U16" s="58"/>
      <c r="V16" s="58"/>
      <c r="W16" s="58"/>
      <c r="X16" s="58"/>
      <c r="Y16" s="58"/>
      <c r="Z16" s="58"/>
    </row>
    <row r="17" spans="1:26" ht="12.75">
      <c r="A17" s="58"/>
      <c r="B17" s="3" t="s">
        <v>34</v>
      </c>
      <c r="C17" s="274">
        <f>($E$12*M16*M26/100*dieselco2)</f>
        <v>0</v>
      </c>
      <c r="D17" s="274">
        <f>($E$12*N16*N26/100*dieselco2)</f>
        <v>0</v>
      </c>
      <c r="E17" s="274">
        <f>($E$12*O16*O26/100*dieselco2)</f>
        <v>0</v>
      </c>
      <c r="F17" s="274">
        <f>($E$12*P16*P26/100*dieselco2)</f>
        <v>0</v>
      </c>
      <c r="G17" s="224">
        <f>SUM(C17:F17)</f>
        <v>0</v>
      </c>
      <c r="H17" s="191">
        <f>(E12*M16*M26/100)+(E12*N16*N26/100)+(E12*O16*O26/100)+(E12*P16*P26/100)</f>
        <v>0</v>
      </c>
      <c r="I17" s="198">
        <f>IF(H17=0,0,H17*(HLOOKUP(B17,'Energy Conv Factors'!$A$6:$M$17,'General Info'!$E$8,FALSE))/1000)</f>
        <v>0</v>
      </c>
      <c r="J17" s="58"/>
      <c r="K17" s="58"/>
      <c r="L17" s="3" t="s">
        <v>51</v>
      </c>
      <c r="M17" s="170">
        <v>0.0128</v>
      </c>
      <c r="N17" s="170">
        <v>0</v>
      </c>
      <c r="O17" s="170">
        <v>0</v>
      </c>
      <c r="P17" s="170">
        <v>0</v>
      </c>
      <c r="Q17" s="171">
        <f>SUM(M17:P17)</f>
        <v>0.0128</v>
      </c>
      <c r="R17" s="58"/>
      <c r="S17" s="58"/>
      <c r="T17" s="58"/>
      <c r="U17" s="58"/>
      <c r="V17" s="58"/>
      <c r="W17" s="58"/>
      <c r="X17" s="58"/>
      <c r="Y17" s="58"/>
      <c r="Z17" s="58"/>
    </row>
    <row r="18" spans="1:26" ht="12.75">
      <c r="A18" s="58"/>
      <c r="B18" s="3" t="s">
        <v>51</v>
      </c>
      <c r="C18" s="274">
        <f>($E$12*M17*M27/100*propaneco2)</f>
        <v>0</v>
      </c>
      <c r="D18" s="274">
        <f>($E$12*N17*N27/100*propaneco2)</f>
        <v>0</v>
      </c>
      <c r="E18" s="274">
        <f>($E$12*O17*O27/100*propaneco2)</f>
        <v>0</v>
      </c>
      <c r="F18" s="274">
        <f>($E$12*P17*P27/100*propaneco2)</f>
        <v>0</v>
      </c>
      <c r="G18" s="224">
        <f>SUM(C18:F18)</f>
        <v>0</v>
      </c>
      <c r="H18" s="191">
        <f>(E12*M17*M27/100)+(E12*N17*N27/100)+(E12*O17*O27/100)+(E12*P17*P27/100)</f>
        <v>0</v>
      </c>
      <c r="I18" s="198">
        <f>IF(H18=0,0,H18*(HLOOKUP(B18,'Energy Conv Factors'!$A$6:$M$17,'General Info'!$E$8,FALSE))/1000)</f>
        <v>0</v>
      </c>
      <c r="J18" s="58"/>
      <c r="K18" s="58"/>
      <c r="L18" s="3" t="s">
        <v>156</v>
      </c>
      <c r="M18" s="170">
        <v>0</v>
      </c>
      <c r="N18" s="170">
        <v>0</v>
      </c>
      <c r="O18" s="170">
        <v>0</v>
      </c>
      <c r="P18" s="170">
        <v>0</v>
      </c>
      <c r="Q18" s="171">
        <f>SUM(M18:P18)</f>
        <v>0</v>
      </c>
      <c r="R18" s="58"/>
      <c r="S18" s="58"/>
      <c r="T18" s="58"/>
      <c r="U18" s="58"/>
      <c r="V18" s="58"/>
      <c r="W18" s="58"/>
      <c r="X18" s="58"/>
      <c r="Y18" s="58"/>
      <c r="Z18" s="58"/>
    </row>
    <row r="19" spans="1:26" ht="12.75">
      <c r="A19" s="58"/>
      <c r="B19" s="147" t="s">
        <v>26</v>
      </c>
      <c r="C19" s="274">
        <f>($E$12*M18*M28/100*cngco2)</f>
        <v>0</v>
      </c>
      <c r="D19" s="274">
        <f>($E$12*N18*N28/100*cngco2)</f>
        <v>0</v>
      </c>
      <c r="E19" s="274">
        <f>($E$12*O18*O28/100*cngco2)</f>
        <v>0</v>
      </c>
      <c r="F19" s="274">
        <f>($E$12*P18*P28/100*cngco2)</f>
        <v>0</v>
      </c>
      <c r="G19" s="224">
        <f>SUM(C19:F19)</f>
        <v>0</v>
      </c>
      <c r="H19" s="191">
        <f>(E12*M18*M28/100)+(E12*N18*N28/100)+(E12*O18*O28/100)+(E12*P18*P28/100)</f>
        <v>0</v>
      </c>
      <c r="I19" s="198">
        <f>IF(H19=0,0,H19*(HLOOKUP(B19,'Energy Conv Factors'!$A$6:$M$17,'General Info'!$E$8,FALSE))/1000)</f>
        <v>0</v>
      </c>
      <c r="J19" s="58"/>
      <c r="K19" s="58"/>
      <c r="L19" s="147" t="s">
        <v>218</v>
      </c>
      <c r="M19" s="170">
        <v>0</v>
      </c>
      <c r="N19" s="170">
        <v>0</v>
      </c>
      <c r="O19" s="170">
        <v>0</v>
      </c>
      <c r="P19" s="170">
        <v>0</v>
      </c>
      <c r="Q19" s="171">
        <f>SUM(M19:P19)</f>
        <v>0</v>
      </c>
      <c r="R19" s="58"/>
      <c r="S19" s="58"/>
      <c r="T19" s="58"/>
      <c r="U19" s="58"/>
      <c r="V19" s="58"/>
      <c r="W19" s="58"/>
      <c r="X19" s="58"/>
      <c r="Y19" s="58"/>
      <c r="Z19" s="58"/>
    </row>
    <row r="20" spans="1:26" ht="13.5" thickBot="1">
      <c r="A20" s="58"/>
      <c r="B20" s="147" t="s">
        <v>218</v>
      </c>
      <c r="C20" s="274">
        <f>($E$12*M19*M29/100*ethanolco2)</f>
        <v>0</v>
      </c>
      <c r="D20" s="274">
        <f>($E$12*N19*N29/100*ethanolco2)</f>
        <v>0</v>
      </c>
      <c r="E20" s="274">
        <f>($E$12*O19*O29/100*ethanolco2)</f>
        <v>0</v>
      </c>
      <c r="F20" s="274">
        <f>($E$12*P19*P29/100*ethanolco2)</f>
        <v>0</v>
      </c>
      <c r="G20" s="224">
        <f>SUM(C20:F20)</f>
        <v>0</v>
      </c>
      <c r="H20" s="191">
        <f>(E12*M19*M29/100)+(E12*N19*N29/100)+(E12*O19*O29/100)+(E12*P19*P29/100)</f>
        <v>0</v>
      </c>
      <c r="I20" s="198">
        <f>IF(H20=0,0,H20*(HLOOKUP(B20,'Energy Conv Factors'!$A$6:$M$17,'General Info'!$E$8,FALSE))/1000)</f>
        <v>0</v>
      </c>
      <c r="J20" s="58"/>
      <c r="K20" s="58"/>
      <c r="L20" s="4" t="s">
        <v>62</v>
      </c>
      <c r="M20" s="172">
        <f>SUM(M15:M19)</f>
        <v>0.5459999999999999</v>
      </c>
      <c r="N20" s="172">
        <f>SUM(N15:N19)</f>
        <v>0.33599999999999997</v>
      </c>
      <c r="O20" s="172">
        <f>SUM(O15:O19)</f>
        <v>0.11789999999999999</v>
      </c>
      <c r="P20" s="172">
        <f>SUM(P15:P19)</f>
        <v>0.0001</v>
      </c>
      <c r="Q20" s="173">
        <f>SUM(Q15:Q19)</f>
        <v>1</v>
      </c>
      <c r="R20" s="58"/>
      <c r="S20" s="58"/>
      <c r="T20" s="58"/>
      <c r="U20" s="58"/>
      <c r="V20" s="58"/>
      <c r="W20" s="58"/>
      <c r="X20" s="58"/>
      <c r="Y20" s="58"/>
      <c r="Z20" s="58"/>
    </row>
    <row r="21" spans="1:26" ht="13.5" thickBot="1">
      <c r="A21" s="58"/>
      <c r="B21" s="4" t="s">
        <v>62</v>
      </c>
      <c r="C21" s="225">
        <f>SUM(C16:C20)</f>
        <v>0</v>
      </c>
      <c r="D21" s="225">
        <f>SUM(D16:D20)</f>
        <v>0</v>
      </c>
      <c r="E21" s="225">
        <f>SUM(E16:E20)</f>
        <v>0</v>
      </c>
      <c r="F21" s="225">
        <f>SUM(F16:F20)</f>
        <v>0</v>
      </c>
      <c r="G21" s="226">
        <f>SUM(G16:G20)</f>
        <v>0</v>
      </c>
      <c r="H21" s="323" t="s">
        <v>112</v>
      </c>
      <c r="I21" s="198">
        <f>SUM(I16:I20)</f>
        <v>0</v>
      </c>
      <c r="J21" s="74"/>
      <c r="K21" s="74"/>
      <c r="L21" s="74"/>
      <c r="M21" s="74"/>
      <c r="N21" s="74"/>
      <c r="O21" s="58"/>
      <c r="P21" s="58"/>
      <c r="Q21" s="58"/>
      <c r="R21" s="58"/>
      <c r="S21" s="58"/>
      <c r="T21" s="58"/>
      <c r="U21" s="58"/>
      <c r="V21" s="58"/>
      <c r="W21" s="58"/>
      <c r="X21" s="58"/>
      <c r="Y21" s="58"/>
      <c r="Z21" s="58"/>
    </row>
    <row r="22" spans="1:26" ht="12.7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row>
    <row r="23" spans="1:26" ht="13.5" thickBot="1">
      <c r="A23" s="58"/>
      <c r="B23" s="479"/>
      <c r="C23" s="479"/>
      <c r="D23" s="479"/>
      <c r="E23" s="479"/>
      <c r="F23" s="479"/>
      <c r="G23" s="479"/>
      <c r="H23" s="58"/>
      <c r="I23" s="58"/>
      <c r="J23" s="58"/>
      <c r="K23" s="58"/>
      <c r="L23" s="71" t="s">
        <v>225</v>
      </c>
      <c r="M23" s="58"/>
      <c r="N23" s="58"/>
      <c r="O23" s="58"/>
      <c r="P23" s="58"/>
      <c r="Q23" s="58"/>
      <c r="R23" s="58"/>
      <c r="S23" s="58"/>
      <c r="T23" s="58"/>
      <c r="U23" s="58"/>
      <c r="V23" s="58"/>
      <c r="W23" s="58"/>
      <c r="X23" s="58"/>
      <c r="Y23" s="58"/>
      <c r="Z23" s="58"/>
    </row>
    <row r="24" spans="1:26" ht="12.75">
      <c r="A24" s="58"/>
      <c r="B24" s="480" t="s">
        <v>309</v>
      </c>
      <c r="C24" s="480"/>
      <c r="D24" s="480"/>
      <c r="E24" s="480"/>
      <c r="F24" s="480"/>
      <c r="G24" s="480"/>
      <c r="H24" s="480"/>
      <c r="I24" s="58"/>
      <c r="J24" s="58"/>
      <c r="K24" s="58"/>
      <c r="L24" s="6"/>
      <c r="M24" s="210" t="s">
        <v>154</v>
      </c>
      <c r="N24" s="210" t="s">
        <v>92</v>
      </c>
      <c r="O24" s="210" t="s">
        <v>93</v>
      </c>
      <c r="P24" s="354" t="s">
        <v>94</v>
      </c>
      <c r="Q24" s="58"/>
      <c r="R24" s="58"/>
      <c r="S24" s="58"/>
      <c r="T24" s="58"/>
      <c r="U24" s="58"/>
      <c r="V24" s="58"/>
      <c r="W24" s="58"/>
      <c r="X24" s="58"/>
      <c r="Y24" s="58"/>
      <c r="Z24" s="58"/>
    </row>
    <row r="25" spans="1:26" ht="12.75">
      <c r="A25" s="58"/>
      <c r="B25" s="344" t="s">
        <v>297</v>
      </c>
      <c r="C25" s="344"/>
      <c r="D25" s="344"/>
      <c r="E25" s="344"/>
      <c r="F25" s="344"/>
      <c r="G25" s="344"/>
      <c r="H25" s="58"/>
      <c r="I25" s="58"/>
      <c r="J25" s="58"/>
      <c r="K25" s="58"/>
      <c r="L25" s="3" t="s">
        <v>40</v>
      </c>
      <c r="M25" s="174">
        <v>9</v>
      </c>
      <c r="N25" s="174">
        <v>14.7</v>
      </c>
      <c r="O25" s="174">
        <v>31.5</v>
      </c>
      <c r="P25" s="175">
        <v>35.7</v>
      </c>
      <c r="Q25" s="58"/>
      <c r="R25" s="58"/>
      <c r="S25" s="58"/>
      <c r="T25" s="58"/>
      <c r="U25" s="58"/>
      <c r="V25" s="58"/>
      <c r="W25" s="58"/>
      <c r="X25" s="58"/>
      <c r="Y25" s="58"/>
      <c r="Z25" s="58"/>
    </row>
    <row r="26" spans="1:26" ht="12.75">
      <c r="A26" s="58"/>
      <c r="B26" s="85"/>
      <c r="C26" s="337"/>
      <c r="D26" s="337"/>
      <c r="E26" s="58"/>
      <c r="F26" s="58"/>
      <c r="G26" s="58"/>
      <c r="H26" s="58"/>
      <c r="I26" s="58"/>
      <c r="J26" s="58"/>
      <c r="K26" s="58"/>
      <c r="L26" s="3" t="s">
        <v>34</v>
      </c>
      <c r="M26" s="174">
        <v>7.7</v>
      </c>
      <c r="N26" s="174">
        <v>12.5</v>
      </c>
      <c r="O26" s="174">
        <v>34.5</v>
      </c>
      <c r="P26" s="175">
        <v>32</v>
      </c>
      <c r="Q26" s="58"/>
      <c r="R26" s="58"/>
      <c r="S26" s="58"/>
      <c r="T26" s="58"/>
      <c r="U26" s="58"/>
      <c r="V26" s="58"/>
      <c r="W26" s="58"/>
      <c r="X26" s="58"/>
      <c r="Y26" s="58"/>
      <c r="Z26" s="58"/>
    </row>
    <row r="27" spans="1:26" ht="12.75" customHeight="1">
      <c r="A27" s="58"/>
      <c r="B27" s="336"/>
      <c r="C27" s="335" t="s">
        <v>306</v>
      </c>
      <c r="D27" s="355"/>
      <c r="E27" s="345"/>
      <c r="F27" s="58"/>
      <c r="G27" s="58"/>
      <c r="H27" s="58"/>
      <c r="I27" s="58"/>
      <c r="J27" s="58"/>
      <c r="K27" s="58"/>
      <c r="L27" s="3" t="s">
        <v>51</v>
      </c>
      <c r="M27" s="174">
        <v>14.4</v>
      </c>
      <c r="N27" s="174">
        <v>15.3</v>
      </c>
      <c r="O27" s="174">
        <v>0</v>
      </c>
      <c r="P27" s="175">
        <v>0</v>
      </c>
      <c r="Q27" s="58"/>
      <c r="R27" s="58"/>
      <c r="S27" s="58"/>
      <c r="T27" s="58"/>
      <c r="U27" s="58"/>
      <c r="V27" s="58"/>
      <c r="W27" s="58"/>
      <c r="X27" s="58"/>
      <c r="Y27" s="58"/>
      <c r="Z27" s="58"/>
    </row>
    <row r="28" spans="1:26" ht="12.75">
      <c r="A28" s="58"/>
      <c r="B28" s="335"/>
      <c r="C28" s="335" t="s">
        <v>307</v>
      </c>
      <c r="D28" s="348" t="e">
        <f>VLOOKUP('General Info'!$C$6,VKT!G8:I21,3,TRUE)</f>
        <v>#N/A</v>
      </c>
      <c r="E28" s="58"/>
      <c r="F28" s="58"/>
      <c r="G28" s="58"/>
      <c r="H28" s="58"/>
      <c r="I28" s="58"/>
      <c r="J28" s="58"/>
      <c r="K28" s="58"/>
      <c r="L28" s="147" t="s">
        <v>226</v>
      </c>
      <c r="M28" s="174">
        <v>5.4</v>
      </c>
      <c r="N28" s="174">
        <v>8.3</v>
      </c>
      <c r="O28" s="174">
        <v>0</v>
      </c>
      <c r="P28" s="175">
        <v>0</v>
      </c>
      <c r="Q28" s="58"/>
      <c r="R28" s="58"/>
      <c r="S28" s="58"/>
      <c r="T28" s="58"/>
      <c r="U28" s="58"/>
      <c r="V28" s="58"/>
      <c r="W28" s="58"/>
      <c r="X28" s="58"/>
      <c r="Y28" s="58"/>
      <c r="Z28" s="58"/>
    </row>
    <row r="29" spans="1:26" ht="13.5" thickBot="1">
      <c r="A29" s="58"/>
      <c r="B29" s="335"/>
      <c r="C29" s="335" t="s">
        <v>305</v>
      </c>
      <c r="D29" s="349" t="e">
        <f>VLOOKUP('General Info'!$C$6,VKT!G8:I21,2,TRUE)</f>
        <v>#N/A</v>
      </c>
      <c r="E29" s="58"/>
      <c r="F29" s="58"/>
      <c r="G29" s="58"/>
      <c r="H29" s="58"/>
      <c r="I29" s="58"/>
      <c r="J29" s="58"/>
      <c r="K29" s="58"/>
      <c r="L29" s="178" t="s">
        <v>218</v>
      </c>
      <c r="M29" s="176">
        <v>8.9</v>
      </c>
      <c r="N29" s="176">
        <v>13.2</v>
      </c>
      <c r="O29" s="176">
        <v>0</v>
      </c>
      <c r="P29" s="177">
        <v>0</v>
      </c>
      <c r="Q29" s="58"/>
      <c r="R29" s="58"/>
      <c r="S29" s="58"/>
      <c r="T29" s="58"/>
      <c r="U29" s="58"/>
      <c r="V29" s="58"/>
      <c r="W29" s="58"/>
      <c r="X29" s="58"/>
      <c r="Y29" s="58"/>
      <c r="Z29" s="58"/>
    </row>
    <row r="30" spans="1:26" ht="12.75" customHeight="1">
      <c r="A30" s="58"/>
      <c r="B30" s="324"/>
      <c r="C30" s="347" t="s">
        <v>308</v>
      </c>
      <c r="D30" s="350" t="e">
        <f>D27*D28*D29</f>
        <v>#N/A</v>
      </c>
      <c r="E30" s="58"/>
      <c r="F30" s="58"/>
      <c r="G30" s="58"/>
      <c r="H30" s="58"/>
      <c r="I30" s="58"/>
      <c r="J30" s="58"/>
      <c r="K30" s="58"/>
      <c r="L30" s="477" t="s">
        <v>227</v>
      </c>
      <c r="M30" s="477"/>
      <c r="N30" s="477"/>
      <c r="O30" s="477"/>
      <c r="P30" s="477"/>
      <c r="Q30" s="58"/>
      <c r="R30" s="58"/>
      <c r="S30" s="58"/>
      <c r="T30" s="58"/>
      <c r="U30" s="58"/>
      <c r="V30" s="58"/>
      <c r="W30" s="58"/>
      <c r="X30" s="58"/>
      <c r="Y30" s="58"/>
      <c r="Z30" s="58"/>
    </row>
    <row r="31" spans="1:26" ht="12.75" customHeight="1">
      <c r="A31" s="58"/>
      <c r="B31" s="58"/>
      <c r="C31" s="58"/>
      <c r="D31" s="58"/>
      <c r="E31" s="58"/>
      <c r="F31" s="58"/>
      <c r="G31" s="58"/>
      <c r="H31" s="58"/>
      <c r="I31" s="58"/>
      <c r="J31" s="58"/>
      <c r="K31" s="58"/>
      <c r="L31" s="478"/>
      <c r="M31" s="478"/>
      <c r="N31" s="478"/>
      <c r="O31" s="478"/>
      <c r="P31" s="478"/>
      <c r="Q31" s="58"/>
      <c r="R31" s="58"/>
      <c r="S31" s="58"/>
      <c r="T31" s="58"/>
      <c r="U31" s="58"/>
      <c r="V31" s="58"/>
      <c r="W31" s="58"/>
      <c r="X31" s="58"/>
      <c r="Y31" s="58"/>
      <c r="Z31" s="58"/>
    </row>
    <row r="32" spans="1:26" ht="12.75">
      <c r="A32" s="58"/>
      <c r="B32" s="58"/>
      <c r="C32" s="58"/>
      <c r="D32" s="58"/>
      <c r="E32" s="58"/>
      <c r="F32" s="58"/>
      <c r="G32" s="58"/>
      <c r="H32" s="58"/>
      <c r="I32" s="58"/>
      <c r="J32" s="58"/>
      <c r="K32" s="58"/>
      <c r="L32" s="478"/>
      <c r="M32" s="478"/>
      <c r="N32" s="478"/>
      <c r="O32" s="478"/>
      <c r="P32" s="478"/>
      <c r="Q32" s="58"/>
      <c r="R32" s="58"/>
      <c r="S32" s="58"/>
      <c r="T32" s="58"/>
      <c r="U32" s="58"/>
      <c r="V32" s="58"/>
      <c r="W32" s="58"/>
      <c r="X32" s="58"/>
      <c r="Y32" s="58"/>
      <c r="Z32" s="58"/>
    </row>
    <row r="33" spans="1:26" ht="12.75">
      <c r="A33" s="58"/>
      <c r="B33" s="324"/>
      <c r="C33" s="310"/>
      <c r="D33" s="232"/>
      <c r="E33" s="58"/>
      <c r="F33" s="58"/>
      <c r="G33" s="58"/>
      <c r="H33" s="58"/>
      <c r="I33" s="58"/>
      <c r="J33" s="58"/>
      <c r="K33" s="58"/>
      <c r="L33" s="478"/>
      <c r="M33" s="478"/>
      <c r="N33" s="478"/>
      <c r="O33" s="478"/>
      <c r="P33" s="478"/>
      <c r="Q33" s="58"/>
      <c r="R33" s="58"/>
      <c r="S33" s="58"/>
      <c r="T33" s="58"/>
      <c r="U33" s="58"/>
      <c r="V33" s="58"/>
      <c r="W33" s="58"/>
      <c r="X33" s="58"/>
      <c r="Y33" s="58"/>
      <c r="Z33" s="58"/>
    </row>
    <row r="34" spans="1:26" ht="12.75">
      <c r="A34" s="58"/>
      <c r="B34" s="324"/>
      <c r="C34" s="310"/>
      <c r="D34" s="232"/>
      <c r="E34" s="58"/>
      <c r="F34" s="58"/>
      <c r="G34" s="58"/>
      <c r="H34" s="58"/>
      <c r="I34" s="58"/>
      <c r="J34" s="58"/>
      <c r="K34" s="58"/>
      <c r="L34" s="478"/>
      <c r="M34" s="478"/>
      <c r="N34" s="478"/>
      <c r="O34" s="478"/>
      <c r="P34" s="478"/>
      <c r="Q34" s="58"/>
      <c r="R34" s="58"/>
      <c r="S34" s="58"/>
      <c r="T34" s="58"/>
      <c r="U34" s="58"/>
      <c r="V34" s="58"/>
      <c r="W34" s="58"/>
      <c r="X34" s="58"/>
      <c r="Y34" s="58"/>
      <c r="Z34" s="58"/>
    </row>
    <row r="35" spans="1:26"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row>
    <row r="36" spans="1:26" ht="21" customHeight="1">
      <c r="A36" s="207"/>
      <c r="B36" s="214" t="s">
        <v>245</v>
      </c>
      <c r="C36" s="207"/>
      <c r="D36" s="207"/>
      <c r="E36" s="207"/>
      <c r="F36" s="207"/>
      <c r="G36" s="207"/>
      <c r="H36" s="207"/>
      <c r="I36" s="207"/>
      <c r="J36" s="207"/>
      <c r="K36" s="207"/>
      <c r="L36" s="207"/>
      <c r="M36" s="207"/>
      <c r="N36" s="207"/>
      <c r="O36" s="207"/>
      <c r="P36" s="207"/>
      <c r="Q36" s="207"/>
      <c r="R36" s="207"/>
      <c r="S36" s="207"/>
      <c r="T36" s="58"/>
      <c r="U36" s="58"/>
      <c r="V36" s="58"/>
      <c r="W36" s="58"/>
      <c r="X36" s="58"/>
      <c r="Y36" s="58"/>
      <c r="Z36" s="58"/>
    </row>
    <row r="37" spans="1:26"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row>
    <row r="38" spans="1:26" ht="12.75">
      <c r="A38" s="58"/>
      <c r="B38" s="75" t="s">
        <v>72</v>
      </c>
      <c r="C38" s="476" t="s">
        <v>310</v>
      </c>
      <c r="D38" s="476"/>
      <c r="E38" s="476"/>
      <c r="F38" s="476"/>
      <c r="G38" s="476"/>
      <c r="H38" s="476"/>
      <c r="I38" s="476"/>
      <c r="J38" s="476"/>
      <c r="K38" s="58"/>
      <c r="L38" s="58"/>
      <c r="M38" s="58"/>
      <c r="N38" s="58"/>
      <c r="O38" s="58"/>
      <c r="P38" s="58"/>
      <c r="Q38" s="58"/>
      <c r="R38" s="58"/>
      <c r="S38" s="58"/>
      <c r="T38" s="58"/>
      <c r="U38" s="58"/>
      <c r="V38" s="58"/>
      <c r="W38" s="58"/>
      <c r="X38" s="58"/>
      <c r="Y38" s="58"/>
      <c r="Z38" s="58"/>
    </row>
    <row r="39" spans="1:26"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row>
    <row r="40" spans="1:26" ht="15" thickBot="1">
      <c r="A40" s="58"/>
      <c r="B40" s="71" t="s">
        <v>208</v>
      </c>
      <c r="C40" s="58"/>
      <c r="D40" s="58"/>
      <c r="E40" s="58"/>
      <c r="F40" s="58"/>
      <c r="G40" s="58"/>
      <c r="H40" s="58"/>
      <c r="I40" s="58"/>
      <c r="J40" s="58"/>
      <c r="K40" s="58"/>
      <c r="L40" s="58"/>
      <c r="M40" s="58"/>
      <c r="N40" s="58"/>
      <c r="O40" s="58"/>
      <c r="P40" s="58"/>
      <c r="Q40" s="58"/>
      <c r="R40" s="58"/>
      <c r="S40" s="58"/>
      <c r="T40" s="58"/>
      <c r="U40" s="58"/>
      <c r="V40" s="58"/>
      <c r="W40" s="58"/>
      <c r="X40" s="58"/>
      <c r="Y40" s="58"/>
      <c r="Z40" s="58"/>
    </row>
    <row r="41" spans="1:26" ht="25.5" customHeight="1">
      <c r="A41" s="58"/>
      <c r="B41" s="6" t="s">
        <v>246</v>
      </c>
      <c r="C41" s="219" t="s">
        <v>157</v>
      </c>
      <c r="D41" s="221" t="s">
        <v>247</v>
      </c>
      <c r="E41" s="222" t="s">
        <v>230</v>
      </c>
      <c r="F41" s="58"/>
      <c r="G41" s="58"/>
      <c r="H41" s="58"/>
      <c r="I41" s="58"/>
      <c r="J41" s="58"/>
      <c r="K41" s="58"/>
      <c r="L41" s="58"/>
      <c r="M41" s="58"/>
      <c r="N41" s="58"/>
      <c r="O41" s="58"/>
      <c r="P41" s="58"/>
      <c r="Q41" s="58"/>
      <c r="R41" s="58"/>
      <c r="S41" s="58"/>
      <c r="T41" s="58"/>
      <c r="U41" s="58"/>
      <c r="V41" s="58"/>
      <c r="W41" s="58"/>
      <c r="X41" s="58"/>
      <c r="Y41" s="58"/>
      <c r="Z41" s="58"/>
    </row>
    <row r="42" spans="1:26" ht="12.75">
      <c r="A42" s="58"/>
      <c r="B42" s="3" t="s">
        <v>40</v>
      </c>
      <c r="C42" s="247"/>
      <c r="D42" s="377">
        <f>(C42*gasco2)</f>
        <v>0</v>
      </c>
      <c r="E42" s="380" t="e">
        <f>C42*(HLOOKUP(B42,'Energy Conv Factors'!$A$6:$M$17,'General Info'!$E$8,FALSE))/1000</f>
        <v>#VALUE!</v>
      </c>
      <c r="F42" s="58"/>
      <c r="G42" s="58"/>
      <c r="H42" s="58"/>
      <c r="I42" s="58"/>
      <c r="J42" s="58"/>
      <c r="K42" s="58"/>
      <c r="L42" s="58"/>
      <c r="M42" s="58"/>
      <c r="N42" s="58"/>
      <c r="O42" s="58"/>
      <c r="P42" s="58"/>
      <c r="Q42" s="58"/>
      <c r="R42" s="58"/>
      <c r="S42" s="58"/>
      <c r="T42" s="58"/>
      <c r="U42" s="58"/>
      <c r="V42" s="58"/>
      <c r="W42" s="58"/>
      <c r="X42" s="58"/>
      <c r="Y42" s="58"/>
      <c r="Z42" s="58"/>
    </row>
    <row r="43" spans="1:26" ht="12.75">
      <c r="A43" s="58"/>
      <c r="B43" s="3" t="s">
        <v>34</v>
      </c>
      <c r="C43" s="247"/>
      <c r="D43" s="377">
        <f>(C43*dieselco2)</f>
        <v>0</v>
      </c>
      <c r="E43" s="380" t="e">
        <f>C43*(HLOOKUP(B43,'Energy Conv Factors'!$A$6:$M$17,'General Info'!$E$8,FALSE))/1000</f>
        <v>#VALUE!</v>
      </c>
      <c r="F43" s="58"/>
      <c r="G43" s="58"/>
      <c r="H43" s="58"/>
      <c r="I43" s="58"/>
      <c r="J43" s="58"/>
      <c r="K43" s="58"/>
      <c r="L43" s="58"/>
      <c r="M43" s="58"/>
      <c r="N43" s="58"/>
      <c r="O43" s="58"/>
      <c r="P43" s="58"/>
      <c r="Q43" s="58"/>
      <c r="R43" s="58"/>
      <c r="S43" s="58"/>
      <c r="T43" s="58"/>
      <c r="U43" s="58"/>
      <c r="V43" s="58"/>
      <c r="W43" s="58"/>
      <c r="X43" s="58"/>
      <c r="Y43" s="58"/>
      <c r="Z43" s="58"/>
    </row>
    <row r="44" spans="1:26" ht="12.75">
      <c r="A44" s="58"/>
      <c r="B44" s="3" t="s">
        <v>51</v>
      </c>
      <c r="C44" s="247"/>
      <c r="D44" s="377">
        <f>(C44*propaneco2)</f>
        <v>0</v>
      </c>
      <c r="E44" s="380" t="e">
        <f>C44*(HLOOKUP(B44,'Energy Conv Factors'!$A$6:$M$17,'General Info'!$E$8,FALSE))/1000</f>
        <v>#VALUE!</v>
      </c>
      <c r="F44" s="58"/>
      <c r="G44" s="58"/>
      <c r="H44" s="58"/>
      <c r="I44" s="58"/>
      <c r="J44" s="58"/>
      <c r="K44" s="58"/>
      <c r="L44" s="58"/>
      <c r="M44" s="58"/>
      <c r="N44" s="58"/>
      <c r="O44" s="58"/>
      <c r="P44" s="58"/>
      <c r="Q44" s="58"/>
      <c r="R44" s="58"/>
      <c r="S44" s="58"/>
      <c r="T44" s="58"/>
      <c r="U44" s="58"/>
      <c r="V44" s="58"/>
      <c r="W44" s="58"/>
      <c r="X44" s="58"/>
      <c r="Y44" s="58"/>
      <c r="Z44" s="58"/>
    </row>
    <row r="45" spans="1:26" ht="12.75">
      <c r="A45" s="58"/>
      <c r="B45" s="3" t="s">
        <v>156</v>
      </c>
      <c r="C45" s="247"/>
      <c r="D45" s="377">
        <f>(C45*cngco2)</f>
        <v>0</v>
      </c>
      <c r="E45" s="380" t="e">
        <f>C45*(HLOOKUP("CNG",'Energy Conv Factors'!$A$6:$M$17,'General Info'!$E$8,FALSE))/1000</f>
        <v>#VALUE!</v>
      </c>
      <c r="F45" s="58"/>
      <c r="G45" s="58"/>
      <c r="H45" s="58"/>
      <c r="I45" s="58"/>
      <c r="J45" s="58"/>
      <c r="K45" s="58"/>
      <c r="L45" s="58"/>
      <c r="M45" s="58"/>
      <c r="N45" s="58"/>
      <c r="O45" s="58"/>
      <c r="P45" s="58"/>
      <c r="Q45" s="58"/>
      <c r="R45" s="58"/>
      <c r="S45" s="58"/>
      <c r="T45" s="58"/>
      <c r="U45" s="58"/>
      <c r="V45" s="58"/>
      <c r="W45" s="58"/>
      <c r="X45" s="58"/>
      <c r="Y45" s="58"/>
      <c r="Z45" s="58"/>
    </row>
    <row r="46" spans="1:26" ht="12.75">
      <c r="A46" s="58"/>
      <c r="B46" s="147" t="s">
        <v>218</v>
      </c>
      <c r="C46" s="247"/>
      <c r="D46" s="377">
        <f>(C46*ethanolco2)</f>
        <v>0</v>
      </c>
      <c r="E46" s="380" t="e">
        <f>C46*(HLOOKUP("Ethanol Blend (10%)",'Energy Conv Factors'!$A$6:$M$17,'General Info'!$E$8,FALSE))/1000</f>
        <v>#VALUE!</v>
      </c>
      <c r="F46" s="58"/>
      <c r="G46" s="58"/>
      <c r="H46" s="58"/>
      <c r="I46" s="58"/>
      <c r="J46" s="58"/>
      <c r="K46" s="58"/>
      <c r="L46" s="58"/>
      <c r="M46" s="58"/>
      <c r="N46" s="58"/>
      <c r="O46" s="58"/>
      <c r="P46" s="58"/>
      <c r="Q46" s="58"/>
      <c r="R46" s="58"/>
      <c r="S46" s="58"/>
      <c r="T46" s="58"/>
      <c r="U46" s="58"/>
      <c r="V46" s="58"/>
      <c r="W46" s="58"/>
      <c r="X46" s="58"/>
      <c r="Y46" s="58"/>
      <c r="Z46" s="58"/>
    </row>
    <row r="47" spans="1:26" ht="12.75">
      <c r="A47" s="58"/>
      <c r="B47" s="147" t="s">
        <v>215</v>
      </c>
      <c r="C47" s="248"/>
      <c r="D47" s="377">
        <f>(C47*biodiesel5)</f>
        <v>0</v>
      </c>
      <c r="E47" s="380" t="e">
        <f>C47*(HLOOKUP(B47,'Energy Conv Factors'!$A$6:$M$17,'General Info'!$E$8,FALSE))/1000</f>
        <v>#VALUE!</v>
      </c>
      <c r="F47" s="58"/>
      <c r="G47" s="58"/>
      <c r="H47" s="58"/>
      <c r="I47" s="58"/>
      <c r="J47" s="58"/>
      <c r="K47" s="58"/>
      <c r="L47" s="58"/>
      <c r="M47" s="58"/>
      <c r="N47" s="58"/>
      <c r="O47" s="58"/>
      <c r="P47" s="58"/>
      <c r="Q47" s="58"/>
      <c r="R47" s="58"/>
      <c r="S47" s="58"/>
      <c r="T47" s="58"/>
      <c r="U47" s="58"/>
      <c r="V47" s="58"/>
      <c r="W47" s="58"/>
      <c r="X47" s="58"/>
      <c r="Y47" s="58"/>
      <c r="Z47" s="58"/>
    </row>
    <row r="48" spans="1:26" ht="12.75">
      <c r="A48" s="58"/>
      <c r="B48" s="147" t="s">
        <v>216</v>
      </c>
      <c r="C48" s="248"/>
      <c r="D48" s="377">
        <f>(C48*biodiesel10)</f>
        <v>0</v>
      </c>
      <c r="E48" s="380" t="e">
        <f>C48*(HLOOKUP(B48,'Energy Conv Factors'!$A$6:$M$17,'General Info'!$E$8,FALSE))/1000</f>
        <v>#VALUE!</v>
      </c>
      <c r="F48" s="58"/>
      <c r="G48" s="58"/>
      <c r="H48" s="58"/>
      <c r="I48" s="58"/>
      <c r="J48" s="58"/>
      <c r="K48" s="58"/>
      <c r="L48" s="58"/>
      <c r="M48" s="58"/>
      <c r="N48" s="58"/>
      <c r="O48" s="58"/>
      <c r="P48" s="58"/>
      <c r="Q48" s="58"/>
      <c r="R48" s="58"/>
      <c r="S48" s="58"/>
      <c r="T48" s="58"/>
      <c r="U48" s="58"/>
      <c r="V48" s="58"/>
      <c r="W48" s="58"/>
      <c r="X48" s="58"/>
      <c r="Y48" s="58"/>
      <c r="Z48" s="58"/>
    </row>
    <row r="49" spans="1:26" ht="13.5" thickBot="1">
      <c r="A49" s="58"/>
      <c r="B49" s="216" t="s">
        <v>217</v>
      </c>
      <c r="C49" s="248"/>
      <c r="D49" s="381">
        <f>(C49*biodiesel20)</f>
        <v>0</v>
      </c>
      <c r="E49" s="382" t="e">
        <f>C49*(HLOOKUP(B49,'Energy Conv Factors'!$A$6:$M$17,'General Info'!$E$8,FALSE))/1000</f>
        <v>#VALUE!</v>
      </c>
      <c r="F49" s="58"/>
      <c r="G49" s="58"/>
      <c r="H49" s="58"/>
      <c r="I49" s="58"/>
      <c r="J49" s="58"/>
      <c r="K49" s="58"/>
      <c r="L49" s="58"/>
      <c r="M49" s="58"/>
      <c r="N49" s="58"/>
      <c r="O49" s="58"/>
      <c r="P49" s="58"/>
      <c r="Q49" s="58"/>
      <c r="R49" s="58"/>
      <c r="S49" s="58"/>
      <c r="T49" s="58"/>
      <c r="U49" s="58"/>
      <c r="V49" s="58"/>
      <c r="W49" s="58"/>
      <c r="X49" s="58"/>
      <c r="Y49" s="58"/>
      <c r="Z49" s="58"/>
    </row>
    <row r="50" spans="1:26" ht="13.5" thickBot="1">
      <c r="A50" s="58"/>
      <c r="B50" s="217" t="s">
        <v>62</v>
      </c>
      <c r="C50" s="220" t="s">
        <v>112</v>
      </c>
      <c r="D50" s="218">
        <f>SUM(D42:D49)</f>
        <v>0</v>
      </c>
      <c r="E50" s="223" t="e">
        <f>SUM(E42:E49)</f>
        <v>#VALUE!</v>
      </c>
      <c r="F50" s="58"/>
      <c r="G50" s="58"/>
      <c r="H50" s="58"/>
      <c r="I50" s="58"/>
      <c r="J50" s="58"/>
      <c r="K50" s="58"/>
      <c r="L50" s="58"/>
      <c r="M50" s="58"/>
      <c r="N50" s="58"/>
      <c r="O50" s="58"/>
      <c r="P50" s="58"/>
      <c r="Q50" s="58"/>
      <c r="R50" s="58"/>
      <c r="S50" s="58"/>
      <c r="T50" s="58"/>
      <c r="U50" s="58"/>
      <c r="V50" s="58"/>
      <c r="W50" s="58"/>
      <c r="X50" s="58"/>
      <c r="Y50" s="58"/>
      <c r="Z50" s="58"/>
    </row>
    <row r="51" spans="1:26"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row>
    <row r="52" spans="1:26"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row>
    <row r="53" spans="1:26"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row>
    <row r="54" spans="1:26" ht="12.7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row>
    <row r="55" spans="1:26" ht="12.75">
      <c r="A55" s="58"/>
      <c r="B55" s="85"/>
      <c r="C55" s="85"/>
      <c r="D55" s="62"/>
      <c r="E55" s="62"/>
      <c r="F55" s="58"/>
      <c r="G55" s="58"/>
      <c r="H55" s="58"/>
      <c r="I55" s="58"/>
      <c r="J55" s="58"/>
      <c r="K55" s="58"/>
      <c r="L55" s="58"/>
      <c r="M55" s="58"/>
      <c r="N55" s="58"/>
      <c r="O55" s="58"/>
      <c r="P55" s="58"/>
      <c r="Q55" s="58"/>
      <c r="R55" s="58"/>
      <c r="S55" s="58"/>
      <c r="T55" s="58"/>
      <c r="U55" s="58"/>
      <c r="V55" s="58"/>
      <c r="W55" s="58"/>
      <c r="X55" s="58"/>
      <c r="Y55" s="58"/>
      <c r="Z55" s="58"/>
    </row>
    <row r="56" spans="1:26" ht="12.75">
      <c r="A56" s="58"/>
      <c r="B56" s="62"/>
      <c r="C56" s="62"/>
      <c r="D56" s="62"/>
      <c r="E56" s="62"/>
      <c r="F56" s="58"/>
      <c r="G56" s="58"/>
      <c r="H56" s="58"/>
      <c r="I56" s="58"/>
      <c r="J56" s="58"/>
      <c r="K56" s="58"/>
      <c r="L56" s="58"/>
      <c r="M56" s="58"/>
      <c r="N56" s="58"/>
      <c r="O56" s="58"/>
      <c r="P56" s="58"/>
      <c r="Q56" s="58"/>
      <c r="R56" s="58"/>
      <c r="S56" s="58"/>
      <c r="T56" s="58"/>
      <c r="U56" s="58"/>
      <c r="V56" s="58"/>
      <c r="W56" s="58"/>
      <c r="X56" s="58"/>
      <c r="Y56" s="58"/>
      <c r="Z56" s="58"/>
    </row>
    <row r="57" spans="1:26" ht="25.5" customHeight="1">
      <c r="A57" s="58"/>
      <c r="B57" s="475"/>
      <c r="C57" s="474"/>
      <c r="D57" s="474"/>
      <c r="E57" s="62"/>
      <c r="F57" s="179"/>
      <c r="G57" s="179"/>
      <c r="H57" s="58"/>
      <c r="I57" s="66"/>
      <c r="J57" s="58"/>
      <c r="K57" s="58"/>
      <c r="L57" s="58"/>
      <c r="M57" s="58"/>
      <c r="N57" s="58"/>
      <c r="O57" s="58"/>
      <c r="P57" s="58"/>
      <c r="Q57" s="58"/>
      <c r="R57" s="58"/>
      <c r="S57" s="58"/>
      <c r="T57" s="58"/>
      <c r="U57" s="58"/>
      <c r="V57" s="58"/>
      <c r="W57" s="58"/>
      <c r="X57" s="58"/>
      <c r="Y57" s="58"/>
      <c r="Z57" s="58"/>
    </row>
    <row r="58" spans="1:26" ht="22.5" customHeight="1">
      <c r="A58" s="58"/>
      <c r="B58" s="475"/>
      <c r="C58" s="474"/>
      <c r="D58" s="474"/>
      <c r="E58" s="62"/>
      <c r="F58" s="58"/>
      <c r="G58" s="179"/>
      <c r="H58" s="58"/>
      <c r="I58" s="58"/>
      <c r="J58" s="58"/>
      <c r="K58" s="58"/>
      <c r="L58" s="58"/>
      <c r="M58" s="58"/>
      <c r="N58" s="58"/>
      <c r="O58" s="58"/>
      <c r="P58" s="58"/>
      <c r="Q58" s="58"/>
      <c r="R58" s="58"/>
      <c r="S58" s="58"/>
      <c r="T58" s="58"/>
      <c r="U58" s="58"/>
      <c r="V58" s="58"/>
      <c r="W58" s="58"/>
      <c r="X58" s="58"/>
      <c r="Y58" s="58"/>
      <c r="Z58" s="58"/>
    </row>
    <row r="59" spans="1:26" ht="12.75">
      <c r="A59" s="58"/>
      <c r="B59" s="324"/>
      <c r="C59" s="310"/>
      <c r="D59" s="232"/>
      <c r="E59" s="62"/>
      <c r="F59" s="58"/>
      <c r="G59" s="85"/>
      <c r="H59" s="62"/>
      <c r="I59" s="58"/>
      <c r="J59" s="58"/>
      <c r="K59" s="58"/>
      <c r="L59" s="58"/>
      <c r="M59" s="58"/>
      <c r="N59" s="58"/>
      <c r="O59" s="58"/>
      <c r="P59" s="58"/>
      <c r="Q59" s="58"/>
      <c r="R59" s="58"/>
      <c r="S59" s="58"/>
      <c r="T59" s="58"/>
      <c r="U59" s="58"/>
      <c r="V59" s="58"/>
      <c r="W59" s="58"/>
      <c r="X59" s="58"/>
      <c r="Y59" s="58"/>
      <c r="Z59" s="58"/>
    </row>
    <row r="60" spans="1:26" ht="12.75">
      <c r="A60" s="58"/>
      <c r="B60" s="324"/>
      <c r="C60" s="310"/>
      <c r="D60" s="232"/>
      <c r="E60" s="62"/>
      <c r="F60" s="58"/>
      <c r="G60" s="83"/>
      <c r="H60" s="62"/>
      <c r="I60" s="58"/>
      <c r="J60" s="58"/>
      <c r="K60" s="58"/>
      <c r="L60" s="58"/>
      <c r="M60" s="58"/>
      <c r="N60" s="58"/>
      <c r="O60" s="58"/>
      <c r="P60" s="58"/>
      <c r="Q60" s="58"/>
      <c r="R60" s="58"/>
      <c r="S60" s="58"/>
      <c r="T60" s="58"/>
      <c r="U60" s="58"/>
      <c r="V60" s="58"/>
      <c r="W60" s="58"/>
      <c r="X60" s="58"/>
      <c r="Y60" s="58"/>
      <c r="Z60" s="58"/>
    </row>
    <row r="61" spans="1:26" ht="12.75">
      <c r="A61" s="58"/>
      <c r="B61" s="324"/>
      <c r="C61" s="310"/>
      <c r="D61" s="232"/>
      <c r="E61" s="62"/>
      <c r="F61" s="58"/>
      <c r="G61" s="58"/>
      <c r="H61" s="58"/>
      <c r="I61" s="58"/>
      <c r="J61" s="58"/>
      <c r="K61" s="58"/>
      <c r="L61" s="58"/>
      <c r="M61" s="58"/>
      <c r="N61" s="58"/>
      <c r="O61" s="58"/>
      <c r="P61" s="58"/>
      <c r="Q61" s="58"/>
      <c r="R61" s="58"/>
      <c r="S61" s="58"/>
      <c r="T61" s="58"/>
      <c r="U61" s="58"/>
      <c r="V61" s="58"/>
      <c r="W61" s="58"/>
      <c r="X61" s="58"/>
      <c r="Y61" s="58"/>
      <c r="Z61" s="58"/>
    </row>
    <row r="62" spans="1:26" ht="12.75">
      <c r="A62" s="58"/>
      <c r="B62" s="324"/>
      <c r="C62" s="310"/>
      <c r="D62" s="232"/>
      <c r="E62" s="62"/>
      <c r="F62" s="58"/>
      <c r="G62" s="58"/>
      <c r="H62" s="58"/>
      <c r="I62" s="58"/>
      <c r="J62" s="58"/>
      <c r="K62" s="58"/>
      <c r="L62" s="58"/>
      <c r="M62" s="58"/>
      <c r="N62" s="58"/>
      <c r="O62" s="58"/>
      <c r="P62" s="58"/>
      <c r="Q62" s="58"/>
      <c r="R62" s="58"/>
      <c r="S62" s="58"/>
      <c r="T62" s="58"/>
      <c r="U62" s="58"/>
      <c r="V62" s="58"/>
      <c r="W62" s="58"/>
      <c r="X62" s="58"/>
      <c r="Y62" s="58"/>
      <c r="Z62" s="58"/>
    </row>
    <row r="63" spans="1:26" ht="12.75">
      <c r="A63" s="58"/>
      <c r="B63" s="324"/>
      <c r="C63" s="310"/>
      <c r="D63" s="232"/>
      <c r="E63" s="62"/>
      <c r="F63" s="58"/>
      <c r="G63" s="58"/>
      <c r="H63" s="58"/>
      <c r="I63" s="58"/>
      <c r="J63" s="58"/>
      <c r="K63" s="58"/>
      <c r="L63" s="58"/>
      <c r="M63" s="58"/>
      <c r="N63" s="58"/>
      <c r="O63" s="58"/>
      <c r="P63" s="58"/>
      <c r="Q63" s="58"/>
      <c r="R63" s="58"/>
      <c r="S63" s="58"/>
      <c r="T63" s="58"/>
      <c r="U63" s="58"/>
      <c r="V63" s="58"/>
      <c r="W63" s="58"/>
      <c r="X63" s="58"/>
      <c r="Y63" s="58"/>
      <c r="Z63" s="58"/>
    </row>
    <row r="64" spans="1:26" ht="12.75">
      <c r="A64" s="58"/>
      <c r="B64" s="324"/>
      <c r="C64" s="310"/>
      <c r="D64" s="232"/>
      <c r="E64" s="62"/>
      <c r="F64" s="58"/>
      <c r="G64" s="58"/>
      <c r="H64" s="58"/>
      <c r="I64" s="58"/>
      <c r="J64" s="58"/>
      <c r="K64" s="58"/>
      <c r="L64" s="58"/>
      <c r="M64" s="58"/>
      <c r="N64" s="58"/>
      <c r="O64" s="58"/>
      <c r="P64" s="58"/>
      <c r="Q64" s="58"/>
      <c r="R64" s="58"/>
      <c r="S64" s="58"/>
      <c r="T64" s="58"/>
      <c r="U64" s="58"/>
      <c r="V64" s="58"/>
      <c r="W64" s="58"/>
      <c r="X64" s="58"/>
      <c r="Y64" s="58"/>
      <c r="Z64" s="58"/>
    </row>
    <row r="65" spans="1:26" ht="12.75">
      <c r="A65" s="58"/>
      <c r="B65" s="324"/>
      <c r="C65" s="310"/>
      <c r="D65" s="232"/>
      <c r="E65" s="62"/>
      <c r="F65" s="58"/>
      <c r="G65" s="58"/>
      <c r="H65" s="58"/>
      <c r="I65" s="58"/>
      <c r="J65" s="58"/>
      <c r="K65" s="58"/>
      <c r="L65" s="58"/>
      <c r="M65" s="58"/>
      <c r="N65" s="58"/>
      <c r="O65" s="58"/>
      <c r="P65" s="58"/>
      <c r="Q65" s="58"/>
      <c r="R65" s="58"/>
      <c r="S65" s="58"/>
      <c r="T65" s="58"/>
      <c r="U65" s="58"/>
      <c r="V65" s="58"/>
      <c r="W65" s="58"/>
      <c r="X65" s="58"/>
      <c r="Y65" s="58"/>
      <c r="Z65" s="58"/>
    </row>
    <row r="66" spans="1:26" ht="12.75">
      <c r="A66" s="58"/>
      <c r="B66" s="324"/>
      <c r="C66" s="310"/>
      <c r="D66" s="232"/>
      <c r="E66" s="62"/>
      <c r="F66" s="58"/>
      <c r="G66" s="58"/>
      <c r="H66" s="58"/>
      <c r="I66" s="58"/>
      <c r="J66" s="58"/>
      <c r="K66" s="58"/>
      <c r="L66" s="58"/>
      <c r="M66" s="58"/>
      <c r="N66" s="58"/>
      <c r="O66" s="58"/>
      <c r="P66" s="58"/>
      <c r="Q66" s="58"/>
      <c r="R66" s="58"/>
      <c r="S66" s="58"/>
      <c r="T66" s="58"/>
      <c r="U66" s="58"/>
      <c r="V66" s="58"/>
      <c r="W66" s="58"/>
      <c r="X66" s="58"/>
      <c r="Y66" s="58"/>
      <c r="Z66" s="58"/>
    </row>
    <row r="67" spans="1:26" ht="12.75">
      <c r="A67" s="58"/>
      <c r="B67" s="324"/>
      <c r="C67" s="310"/>
      <c r="D67" s="232"/>
      <c r="E67" s="62"/>
      <c r="F67" s="58"/>
      <c r="G67" s="58"/>
      <c r="H67" s="58"/>
      <c r="I67" s="58"/>
      <c r="J67" s="58"/>
      <c r="K67" s="58"/>
      <c r="L67" s="58"/>
      <c r="M67" s="58"/>
      <c r="N67" s="58"/>
      <c r="O67" s="58"/>
      <c r="P67" s="58"/>
      <c r="Q67" s="58"/>
      <c r="R67" s="58"/>
      <c r="S67" s="58"/>
      <c r="T67" s="58"/>
      <c r="U67" s="58"/>
      <c r="V67" s="58"/>
      <c r="W67" s="58"/>
      <c r="X67" s="58"/>
      <c r="Y67" s="58"/>
      <c r="Z67" s="58"/>
    </row>
    <row r="68" spans="1:26" ht="12.75">
      <c r="A68" s="58"/>
      <c r="B68" s="325"/>
      <c r="C68" s="310"/>
      <c r="D68" s="232"/>
      <c r="E68" s="62"/>
      <c r="F68" s="58"/>
      <c r="G68" s="58"/>
      <c r="H68" s="58"/>
      <c r="I68" s="58"/>
      <c r="J68" s="58"/>
      <c r="K68" s="58"/>
      <c r="L68" s="58"/>
      <c r="M68" s="58"/>
      <c r="N68" s="58"/>
      <c r="O68" s="58"/>
      <c r="P68" s="58"/>
      <c r="Q68" s="58"/>
      <c r="R68" s="58"/>
      <c r="S68" s="58"/>
      <c r="T68" s="58"/>
      <c r="U68" s="58"/>
      <c r="V68" s="58"/>
      <c r="W68" s="58"/>
      <c r="X68" s="58"/>
      <c r="Y68" s="58"/>
      <c r="Z68" s="58"/>
    </row>
    <row r="69" spans="1:26" ht="12.75">
      <c r="A69" s="58"/>
      <c r="B69" s="62"/>
      <c r="C69" s="62"/>
      <c r="D69" s="62"/>
      <c r="E69" s="62"/>
      <c r="F69" s="58"/>
      <c r="G69" s="58"/>
      <c r="H69" s="58"/>
      <c r="I69" s="58"/>
      <c r="J69" s="58"/>
      <c r="K69" s="58"/>
      <c r="L69" s="58"/>
      <c r="M69" s="58"/>
      <c r="N69" s="58"/>
      <c r="O69" s="58"/>
      <c r="P69" s="58"/>
      <c r="Q69" s="58"/>
      <c r="R69" s="58"/>
      <c r="S69" s="58"/>
      <c r="T69" s="58"/>
      <c r="U69" s="58"/>
      <c r="V69" s="58"/>
      <c r="W69" s="58"/>
      <c r="X69" s="58"/>
      <c r="Y69" s="58"/>
      <c r="Z69" s="58"/>
    </row>
    <row r="70" spans="1:26" ht="12.75">
      <c r="A70" s="58"/>
      <c r="B70" s="62"/>
      <c r="C70" s="85"/>
      <c r="D70" s="62"/>
      <c r="E70" s="62"/>
      <c r="F70" s="58"/>
      <c r="G70" s="58"/>
      <c r="H70" s="58"/>
      <c r="I70" s="58"/>
      <c r="J70" s="58"/>
      <c r="K70" s="58"/>
      <c r="L70" s="58"/>
      <c r="M70" s="58"/>
      <c r="N70" s="58"/>
      <c r="O70" s="58"/>
      <c r="P70" s="58"/>
      <c r="Q70" s="58"/>
      <c r="R70" s="58"/>
      <c r="S70" s="58"/>
      <c r="T70" s="58"/>
      <c r="U70" s="58"/>
      <c r="V70" s="58"/>
      <c r="W70" s="58"/>
      <c r="X70" s="58"/>
      <c r="Y70" s="58"/>
      <c r="Z70" s="58"/>
    </row>
    <row r="71" spans="1:26" ht="12.75">
      <c r="A71" s="58"/>
      <c r="B71" s="62"/>
      <c r="C71" s="85"/>
      <c r="D71" s="62"/>
      <c r="E71" s="62"/>
      <c r="F71" s="58"/>
      <c r="G71" s="58"/>
      <c r="H71" s="58"/>
      <c r="I71" s="58"/>
      <c r="J71" s="58"/>
      <c r="K71" s="58"/>
      <c r="L71" s="58"/>
      <c r="M71" s="58"/>
      <c r="N71" s="58"/>
      <c r="O71" s="58"/>
      <c r="P71" s="58"/>
      <c r="Q71" s="58"/>
      <c r="R71" s="58"/>
      <c r="S71" s="58"/>
      <c r="T71" s="58"/>
      <c r="U71" s="58"/>
      <c r="V71" s="58"/>
      <c r="W71" s="58"/>
      <c r="X71" s="58"/>
      <c r="Y71" s="58"/>
      <c r="Z71" s="58"/>
    </row>
    <row r="72" spans="1:26" ht="12.75">
      <c r="A72" s="58"/>
      <c r="B72" s="62"/>
      <c r="C72" s="62"/>
      <c r="D72" s="62"/>
      <c r="E72" s="62"/>
      <c r="F72" s="58"/>
      <c r="G72" s="58"/>
      <c r="H72" s="58"/>
      <c r="I72" s="58"/>
      <c r="J72" s="58"/>
      <c r="K72" s="58"/>
      <c r="L72" s="58"/>
      <c r="M72" s="58"/>
      <c r="N72" s="58"/>
      <c r="O72" s="58"/>
      <c r="P72" s="58"/>
      <c r="Q72" s="58"/>
      <c r="R72" s="58"/>
      <c r="S72" s="58"/>
      <c r="T72" s="58"/>
      <c r="U72" s="58"/>
      <c r="V72" s="58"/>
      <c r="W72" s="58"/>
      <c r="X72" s="58"/>
      <c r="Y72" s="58"/>
      <c r="Z72" s="58"/>
    </row>
    <row r="73" spans="1:26" ht="12.7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row>
    <row r="74" spans="1:26" ht="12.7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row>
    <row r="75" spans="1:26" ht="12.7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row>
    <row r="76" spans="1:26" ht="12.7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row>
    <row r="77" spans="1:26" ht="12.7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row>
    <row r="78" spans="1:26" ht="12.7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row>
    <row r="79" spans="1:26" ht="12.7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row>
    <row r="80" spans="1:26" ht="12.7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row>
    <row r="81" spans="1:26" ht="12.7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row>
    <row r="82" spans="1:26" ht="12.7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row>
    <row r="83" spans="1:26" ht="12.7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row>
    <row r="84" spans="1:26" ht="12.7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row>
    <row r="85" spans="1:26" ht="12.7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row>
    <row r="86" spans="1:26" ht="12.7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row>
    <row r="87" spans="1:26" ht="12.7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row>
    <row r="88" spans="1:26" ht="12.7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row>
    <row r="89" spans="1:26" ht="12.7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row>
    <row r="90" spans="1:26" ht="12.7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row>
    <row r="91" spans="1:26" ht="12.7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row>
    <row r="92" spans="1:26" ht="12.7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row>
    <row r="93" spans="1:26" ht="12.7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row>
    <row r="94" spans="1:26" ht="12.7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row>
  </sheetData>
  <sheetProtection/>
  <mergeCells count="9">
    <mergeCell ref="C57:C58"/>
    <mergeCell ref="B57:B58"/>
    <mergeCell ref="D57:D58"/>
    <mergeCell ref="C8:J8"/>
    <mergeCell ref="B3:D3"/>
    <mergeCell ref="L30:P34"/>
    <mergeCell ref="B23:G23"/>
    <mergeCell ref="B24:H24"/>
    <mergeCell ref="C38:J38"/>
  </mergeCells>
  <printOptions/>
  <pageMargins left="0.75" right="0.75" top="1" bottom="1" header="0.5" footer="0.5"/>
  <pageSetup fitToHeight="1" fitToWidth="1" horizontalDpi="600" verticalDpi="600" orientation="landscape" scale="72" r:id="rId1"/>
</worksheet>
</file>

<file path=xl/worksheets/sheet14.xml><?xml version="1.0" encoding="utf-8"?>
<worksheet xmlns="http://schemas.openxmlformats.org/spreadsheetml/2006/main" xmlns:r="http://schemas.openxmlformats.org/officeDocument/2006/relationships">
  <sheetPr codeName="Sheet15">
    <tabColor rgb="FFFFFF00"/>
  </sheetPr>
  <dimension ref="A1:V42"/>
  <sheetViews>
    <sheetView zoomScalePageLayoutView="0" workbookViewId="0" topLeftCell="A1">
      <selection activeCell="C6" sqref="C6:H6"/>
    </sheetView>
  </sheetViews>
  <sheetFormatPr defaultColWidth="9.33203125" defaultRowHeight="12.75"/>
  <cols>
    <col min="1" max="1" width="5.5" style="0" customWidth="1"/>
    <col min="2" max="2" width="16.83203125" style="0" customWidth="1"/>
    <col min="4" max="4" width="13.33203125" style="0" customWidth="1"/>
  </cols>
  <sheetData>
    <row r="1" spans="1:22" ht="12.75">
      <c r="A1" s="62"/>
      <c r="B1" s="62"/>
      <c r="C1" s="62"/>
      <c r="D1" s="62"/>
      <c r="E1" s="62"/>
      <c r="F1" s="62"/>
      <c r="G1" s="62"/>
      <c r="H1" s="62"/>
      <c r="I1" s="58"/>
      <c r="J1" s="58"/>
      <c r="K1" s="58"/>
      <c r="L1" s="58"/>
      <c r="M1" s="58"/>
      <c r="N1" s="58"/>
      <c r="O1" s="58"/>
      <c r="P1" s="58"/>
      <c r="Q1" s="58"/>
      <c r="R1" s="58"/>
      <c r="S1" s="58"/>
      <c r="T1" s="58"/>
      <c r="U1" s="58"/>
      <c r="V1" s="58"/>
    </row>
    <row r="2" spans="1:22" ht="13.5" thickBot="1">
      <c r="A2" s="62"/>
      <c r="B2" s="62"/>
      <c r="C2" s="62"/>
      <c r="D2" s="62"/>
      <c r="E2" s="62"/>
      <c r="F2" s="62"/>
      <c r="G2" s="62"/>
      <c r="H2" s="62"/>
      <c r="I2" s="58"/>
      <c r="J2" s="58"/>
      <c r="K2" s="58"/>
      <c r="L2" s="58"/>
      <c r="M2" s="58"/>
      <c r="N2" s="58"/>
      <c r="O2" s="58"/>
      <c r="P2" s="58"/>
      <c r="Q2" s="58"/>
      <c r="R2" s="58"/>
      <c r="S2" s="58"/>
      <c r="T2" s="58"/>
      <c r="U2" s="58"/>
      <c r="V2" s="58"/>
    </row>
    <row r="3" spans="1:22" ht="30.75" thickTop="1">
      <c r="A3" s="62"/>
      <c r="B3" s="485" t="s">
        <v>169</v>
      </c>
      <c r="C3" s="486"/>
      <c r="D3" s="486"/>
      <c r="E3" s="104"/>
      <c r="F3" s="104"/>
      <c r="G3" s="104"/>
      <c r="H3" s="105"/>
      <c r="I3" s="58"/>
      <c r="J3" s="58"/>
      <c r="K3" s="58"/>
      <c r="L3" s="58"/>
      <c r="M3" s="58"/>
      <c r="N3" s="58"/>
      <c r="O3" s="58"/>
      <c r="P3" s="58"/>
      <c r="Q3" s="58"/>
      <c r="R3" s="58"/>
      <c r="S3" s="58"/>
      <c r="T3" s="58"/>
      <c r="U3" s="58"/>
      <c r="V3" s="58"/>
    </row>
    <row r="4" spans="1:22" ht="12.75">
      <c r="A4" s="62"/>
      <c r="B4" s="108" t="s">
        <v>77</v>
      </c>
      <c r="C4" s="62"/>
      <c r="D4" s="62"/>
      <c r="E4" s="62"/>
      <c r="F4" s="62"/>
      <c r="G4" s="62"/>
      <c r="H4" s="107"/>
      <c r="I4" s="58"/>
      <c r="J4" s="58"/>
      <c r="K4" s="58"/>
      <c r="L4" s="58"/>
      <c r="M4" s="58"/>
      <c r="N4" s="58"/>
      <c r="O4" s="58"/>
      <c r="P4" s="58"/>
      <c r="Q4" s="58"/>
      <c r="R4" s="58"/>
      <c r="S4" s="58"/>
      <c r="T4" s="58"/>
      <c r="U4" s="58"/>
      <c r="V4" s="58"/>
    </row>
    <row r="5" spans="1:22" ht="12.75">
      <c r="A5" s="62"/>
      <c r="B5" s="106"/>
      <c r="C5" s="62"/>
      <c r="D5" s="62"/>
      <c r="E5" s="62"/>
      <c r="F5" s="62"/>
      <c r="G5" s="62"/>
      <c r="H5" s="107"/>
      <c r="I5" s="58"/>
      <c r="J5" s="58"/>
      <c r="K5" s="58"/>
      <c r="L5" s="58"/>
      <c r="M5" s="58"/>
      <c r="N5" s="58"/>
      <c r="O5" s="58"/>
      <c r="P5" s="58"/>
      <c r="Q5" s="58"/>
      <c r="R5" s="58"/>
      <c r="S5" s="58"/>
      <c r="T5" s="58"/>
      <c r="U5" s="58"/>
      <c r="V5" s="58"/>
    </row>
    <row r="6" spans="1:22" ht="12.75">
      <c r="A6" s="62"/>
      <c r="B6" s="109" t="s">
        <v>72</v>
      </c>
      <c r="C6" s="483" t="s">
        <v>96</v>
      </c>
      <c r="D6" s="483"/>
      <c r="E6" s="483"/>
      <c r="F6" s="483"/>
      <c r="G6" s="483"/>
      <c r="H6" s="484"/>
      <c r="I6" s="58"/>
      <c r="J6" s="58"/>
      <c r="K6" s="58"/>
      <c r="L6" s="58"/>
      <c r="M6" s="58"/>
      <c r="N6" s="58"/>
      <c r="O6" s="58"/>
      <c r="P6" s="58"/>
      <c r="Q6" s="58"/>
      <c r="R6" s="58"/>
      <c r="S6" s="58"/>
      <c r="T6" s="58"/>
      <c r="U6" s="58"/>
      <c r="V6" s="58"/>
    </row>
    <row r="7" spans="1:22" ht="12.75">
      <c r="A7" s="62"/>
      <c r="B7" s="106"/>
      <c r="C7" s="62"/>
      <c r="D7" s="62"/>
      <c r="E7" s="62"/>
      <c r="F7" s="62"/>
      <c r="G7" s="62"/>
      <c r="H7" s="107"/>
      <c r="I7" s="58"/>
      <c r="J7" s="58"/>
      <c r="K7" s="58"/>
      <c r="L7" s="58"/>
      <c r="M7" s="58"/>
      <c r="N7" s="58"/>
      <c r="O7" s="58"/>
      <c r="P7" s="58"/>
      <c r="Q7" s="58"/>
      <c r="R7" s="58"/>
      <c r="S7" s="58"/>
      <c r="T7" s="58"/>
      <c r="U7" s="58"/>
      <c r="V7" s="58"/>
    </row>
    <row r="8" spans="1:22" ht="12.75">
      <c r="A8" s="62"/>
      <c r="B8" s="481" t="s">
        <v>97</v>
      </c>
      <c r="C8" s="482"/>
      <c r="D8" s="252"/>
      <c r="E8" s="62"/>
      <c r="F8" s="62"/>
      <c r="G8" s="62"/>
      <c r="H8" s="107"/>
      <c r="I8" s="58"/>
      <c r="J8" s="58"/>
      <c r="L8" s="58"/>
      <c r="M8" s="58"/>
      <c r="N8" s="58"/>
      <c r="O8" s="58"/>
      <c r="P8" s="58"/>
      <c r="Q8" s="58"/>
      <c r="R8" s="58"/>
      <c r="S8" s="58"/>
      <c r="T8" s="58"/>
      <c r="U8" s="58"/>
      <c r="V8" s="58"/>
    </row>
    <row r="9" spans="1:22" ht="12.75">
      <c r="A9" s="62"/>
      <c r="B9" s="106"/>
      <c r="C9" s="62"/>
      <c r="D9" s="253"/>
      <c r="E9" s="62"/>
      <c r="F9" s="62"/>
      <c r="G9" s="62"/>
      <c r="H9" s="107"/>
      <c r="I9" s="58"/>
      <c r="J9" s="58"/>
      <c r="K9" s="58"/>
      <c r="L9" s="58"/>
      <c r="M9" s="58"/>
      <c r="N9" s="58"/>
      <c r="O9" s="58"/>
      <c r="P9" s="58"/>
      <c r="Q9" s="58"/>
      <c r="R9" s="58"/>
      <c r="S9" s="58"/>
      <c r="T9" s="58"/>
      <c r="U9" s="58"/>
      <c r="V9" s="58"/>
    </row>
    <row r="10" spans="1:22" ht="12.75">
      <c r="A10" s="62"/>
      <c r="B10" s="481" t="s">
        <v>108</v>
      </c>
      <c r="C10" s="482"/>
      <c r="D10" s="254">
        <f>D8*wastecoef</f>
        <v>0</v>
      </c>
      <c r="E10" s="62"/>
      <c r="F10" s="62"/>
      <c r="G10" s="62"/>
      <c r="H10" s="107"/>
      <c r="I10" s="58"/>
      <c r="J10" s="58"/>
      <c r="K10" s="58"/>
      <c r="L10" s="58"/>
      <c r="M10" s="58"/>
      <c r="N10" s="58"/>
      <c r="O10" s="58"/>
      <c r="P10" s="58"/>
      <c r="Q10" s="58"/>
      <c r="R10" s="58"/>
      <c r="S10" s="58"/>
      <c r="T10" s="58"/>
      <c r="U10" s="58"/>
      <c r="V10" s="58"/>
    </row>
    <row r="11" spans="1:22" ht="12.75">
      <c r="A11" s="62"/>
      <c r="B11" s="106"/>
      <c r="C11" s="62"/>
      <c r="D11" s="62"/>
      <c r="E11" s="62"/>
      <c r="F11" s="62"/>
      <c r="G11" s="62"/>
      <c r="H11" s="107"/>
      <c r="I11" s="58"/>
      <c r="J11" s="58"/>
      <c r="K11" s="58"/>
      <c r="L11" s="58"/>
      <c r="M11" s="58"/>
      <c r="N11" s="58"/>
      <c r="O11" s="58"/>
      <c r="P11" s="58"/>
      <c r="Q11" s="58"/>
      <c r="R11" s="58"/>
      <c r="S11" s="58"/>
      <c r="T11" s="58"/>
      <c r="U11" s="58"/>
      <c r="V11" s="58"/>
    </row>
    <row r="12" spans="1:22" ht="12.75">
      <c r="A12" s="62"/>
      <c r="B12" s="106"/>
      <c r="C12" s="62"/>
      <c r="D12" s="62"/>
      <c r="E12" s="62"/>
      <c r="F12" s="62"/>
      <c r="G12" s="62"/>
      <c r="H12" s="107"/>
      <c r="I12" s="58"/>
      <c r="J12" s="58"/>
      <c r="K12" s="58"/>
      <c r="L12" s="58"/>
      <c r="M12" s="58"/>
      <c r="N12" s="58"/>
      <c r="O12" s="58"/>
      <c r="P12" s="58"/>
      <c r="Q12" s="58"/>
      <c r="R12" s="58"/>
      <c r="S12" s="58"/>
      <c r="T12" s="58"/>
      <c r="U12" s="58"/>
      <c r="V12" s="58"/>
    </row>
    <row r="13" spans="1:22" ht="12.75">
      <c r="A13" s="62"/>
      <c r="B13" s="106"/>
      <c r="C13" s="62"/>
      <c r="D13" s="62"/>
      <c r="E13" s="62"/>
      <c r="F13" s="62"/>
      <c r="G13" s="62"/>
      <c r="H13" s="107"/>
      <c r="I13" s="58"/>
      <c r="J13" s="58"/>
      <c r="K13" s="58"/>
      <c r="L13" s="58"/>
      <c r="M13" s="58"/>
      <c r="N13" s="58"/>
      <c r="O13" s="58"/>
      <c r="P13" s="58"/>
      <c r="Q13" s="58"/>
      <c r="R13" s="58"/>
      <c r="S13" s="58"/>
      <c r="T13" s="58"/>
      <c r="U13" s="58"/>
      <c r="V13" s="58"/>
    </row>
    <row r="14" spans="1:22" s="87" customFormat="1" ht="13.5" thickBot="1">
      <c r="A14" s="62"/>
      <c r="B14" s="162"/>
      <c r="C14" s="163"/>
      <c r="D14" s="163"/>
      <c r="E14" s="163"/>
      <c r="F14" s="163"/>
      <c r="G14" s="163"/>
      <c r="H14" s="164"/>
      <c r="I14" s="58"/>
      <c r="J14" s="58"/>
      <c r="K14" s="58"/>
      <c r="L14" s="58"/>
      <c r="M14" s="58"/>
      <c r="N14" s="58"/>
      <c r="O14" s="58"/>
      <c r="P14" s="58"/>
      <c r="Q14" s="58"/>
      <c r="R14" s="58"/>
      <c r="S14" s="58"/>
      <c r="T14" s="58"/>
      <c r="U14" s="58"/>
      <c r="V14" s="58"/>
    </row>
    <row r="15" spans="1:22" ht="13.5" thickTop="1">
      <c r="A15" s="58"/>
      <c r="B15" s="58"/>
      <c r="C15" s="58"/>
      <c r="D15" s="58"/>
      <c r="E15" s="58"/>
      <c r="F15" s="58"/>
      <c r="G15" s="58"/>
      <c r="H15" s="58"/>
      <c r="I15" s="58"/>
      <c r="J15" s="58"/>
      <c r="K15" s="58"/>
      <c r="L15" s="58"/>
      <c r="M15" s="58"/>
      <c r="N15" s="58"/>
      <c r="O15" s="58"/>
      <c r="P15" s="58"/>
      <c r="Q15" s="58"/>
      <c r="R15" s="58"/>
      <c r="S15" s="58"/>
      <c r="T15" s="58"/>
      <c r="U15" s="58"/>
      <c r="V15" s="58"/>
    </row>
    <row r="16" spans="1:22" ht="12.75">
      <c r="A16" s="58"/>
      <c r="B16" s="58"/>
      <c r="C16" s="58"/>
      <c r="D16" s="58"/>
      <c r="E16" s="58"/>
      <c r="F16" s="58"/>
      <c r="G16" s="58"/>
      <c r="H16" s="58"/>
      <c r="I16" s="58"/>
      <c r="J16" s="58"/>
      <c r="K16" s="58"/>
      <c r="L16" s="58"/>
      <c r="M16" s="58"/>
      <c r="N16" s="58"/>
      <c r="O16" s="58"/>
      <c r="P16" s="58"/>
      <c r="Q16" s="58"/>
      <c r="R16" s="58"/>
      <c r="S16" s="58"/>
      <c r="T16" s="58"/>
      <c r="U16" s="58"/>
      <c r="V16" s="58"/>
    </row>
    <row r="17" spans="1:22" ht="12.75">
      <c r="A17" s="58"/>
      <c r="B17" s="58"/>
      <c r="C17" s="58"/>
      <c r="D17" s="58"/>
      <c r="E17" s="58"/>
      <c r="F17" s="58"/>
      <c r="G17" s="58"/>
      <c r="H17" s="58"/>
      <c r="I17" s="58"/>
      <c r="J17" s="58"/>
      <c r="K17" s="58"/>
      <c r="L17" s="58"/>
      <c r="M17" s="58"/>
      <c r="N17" s="58"/>
      <c r="O17" s="58"/>
      <c r="P17" s="58"/>
      <c r="Q17" s="58"/>
      <c r="R17" s="58"/>
      <c r="S17" s="58"/>
      <c r="T17" s="58"/>
      <c r="U17" s="58"/>
      <c r="V17" s="58"/>
    </row>
    <row r="18" spans="1:22" ht="12.75">
      <c r="A18" s="58"/>
      <c r="B18" s="58"/>
      <c r="C18" s="58"/>
      <c r="D18" s="58"/>
      <c r="E18" s="58"/>
      <c r="F18" s="58"/>
      <c r="G18" s="58"/>
      <c r="H18" s="58"/>
      <c r="I18" s="58"/>
      <c r="J18" s="58"/>
      <c r="K18" s="58"/>
      <c r="L18" s="58"/>
      <c r="M18" s="58"/>
      <c r="N18" s="58"/>
      <c r="O18" s="58"/>
      <c r="P18" s="58"/>
      <c r="Q18" s="58"/>
      <c r="R18" s="58"/>
      <c r="S18" s="58"/>
      <c r="T18" s="58"/>
      <c r="U18" s="58"/>
      <c r="V18" s="58"/>
    </row>
    <row r="19" spans="1:22" ht="12.75">
      <c r="A19" s="62"/>
      <c r="B19" s="62"/>
      <c r="C19" s="62"/>
      <c r="D19" s="62"/>
      <c r="E19" s="62"/>
      <c r="F19" s="62"/>
      <c r="G19" s="62"/>
      <c r="H19" s="62"/>
      <c r="I19" s="62"/>
      <c r="J19" s="62"/>
      <c r="K19" s="62"/>
      <c r="L19" s="62"/>
      <c r="M19" s="62"/>
      <c r="N19" s="62"/>
      <c r="O19" s="62"/>
      <c r="P19" s="62"/>
      <c r="Q19" s="58"/>
      <c r="R19" s="58"/>
      <c r="S19" s="58"/>
      <c r="T19" s="58"/>
      <c r="U19" s="58"/>
      <c r="V19" s="58"/>
    </row>
    <row r="20" spans="1:22" ht="18.75">
      <c r="A20" s="62"/>
      <c r="B20" s="157"/>
      <c r="C20" s="62"/>
      <c r="D20" s="62"/>
      <c r="E20" s="62"/>
      <c r="F20" s="62"/>
      <c r="G20" s="62"/>
      <c r="H20" s="62"/>
      <c r="I20" s="62"/>
      <c r="J20" s="62"/>
      <c r="K20" s="62"/>
      <c r="L20" s="62"/>
      <c r="M20" s="62"/>
      <c r="N20" s="62"/>
      <c r="O20" s="62"/>
      <c r="P20" s="62"/>
      <c r="Q20" s="58"/>
      <c r="R20" s="58"/>
      <c r="S20" s="58"/>
      <c r="T20" s="58"/>
      <c r="U20" s="58"/>
      <c r="V20" s="58"/>
    </row>
    <row r="21" spans="1:22" ht="15.75">
      <c r="A21" s="62"/>
      <c r="B21" s="158"/>
      <c r="C21" s="62"/>
      <c r="D21" s="62"/>
      <c r="E21" s="62"/>
      <c r="F21" s="62"/>
      <c r="G21" s="62"/>
      <c r="H21" s="62"/>
      <c r="I21" s="62"/>
      <c r="J21" s="62"/>
      <c r="K21" s="62"/>
      <c r="L21" s="62"/>
      <c r="M21" s="62"/>
      <c r="N21" s="62"/>
      <c r="O21" s="62"/>
      <c r="P21" s="62"/>
      <c r="Q21" s="58"/>
      <c r="R21" s="58"/>
      <c r="S21" s="58"/>
      <c r="T21" s="58"/>
      <c r="U21" s="58"/>
      <c r="V21" s="58"/>
    </row>
    <row r="22" spans="1:22" ht="15.75">
      <c r="A22" s="62"/>
      <c r="B22" s="158"/>
      <c r="C22" s="62"/>
      <c r="D22" s="62"/>
      <c r="E22" s="62"/>
      <c r="F22" s="62"/>
      <c r="G22" s="62"/>
      <c r="H22" s="62"/>
      <c r="I22" s="62"/>
      <c r="J22" s="62"/>
      <c r="K22" s="62"/>
      <c r="L22" s="62"/>
      <c r="M22" s="62"/>
      <c r="N22" s="62"/>
      <c r="O22" s="62"/>
      <c r="P22" s="62"/>
      <c r="Q22" s="58"/>
      <c r="R22" s="58"/>
      <c r="S22" s="58"/>
      <c r="T22" s="58"/>
      <c r="U22" s="58"/>
      <c r="V22" s="58"/>
    </row>
    <row r="23" spans="1:22" ht="12.75">
      <c r="A23" s="62"/>
      <c r="B23" s="62"/>
      <c r="C23" s="62"/>
      <c r="D23" s="62"/>
      <c r="E23" s="62"/>
      <c r="F23" s="62"/>
      <c r="G23" s="62"/>
      <c r="H23" s="62"/>
      <c r="I23" s="62"/>
      <c r="J23" s="62"/>
      <c r="K23" s="62"/>
      <c r="L23" s="62"/>
      <c r="M23" s="62"/>
      <c r="N23" s="62"/>
      <c r="O23" s="62"/>
      <c r="P23" s="62"/>
      <c r="Q23" s="58"/>
      <c r="R23" s="58"/>
      <c r="S23" s="58"/>
      <c r="T23" s="58"/>
      <c r="U23" s="58"/>
      <c r="V23" s="58"/>
    </row>
    <row r="24" spans="1:22" ht="18.75">
      <c r="A24" s="62"/>
      <c r="B24" s="159"/>
      <c r="C24" s="62"/>
      <c r="D24" s="62"/>
      <c r="E24" s="62"/>
      <c r="F24" s="62"/>
      <c r="G24" s="62"/>
      <c r="H24" s="62"/>
      <c r="I24" s="62"/>
      <c r="J24" s="62"/>
      <c r="K24" s="62"/>
      <c r="L24" s="62"/>
      <c r="M24" s="62"/>
      <c r="N24" s="62"/>
      <c r="O24" s="62"/>
      <c r="P24" s="62"/>
      <c r="Q24" s="58"/>
      <c r="R24" s="58"/>
      <c r="S24" s="58"/>
      <c r="T24" s="58"/>
      <c r="U24" s="58"/>
      <c r="V24" s="58"/>
    </row>
    <row r="25" spans="1:22" ht="12.75">
      <c r="A25" s="62"/>
      <c r="B25" s="62"/>
      <c r="C25" s="62"/>
      <c r="D25" s="62"/>
      <c r="E25" s="62"/>
      <c r="F25" s="62"/>
      <c r="G25" s="62"/>
      <c r="H25" s="62"/>
      <c r="I25" s="62"/>
      <c r="J25" s="62"/>
      <c r="K25" s="62"/>
      <c r="L25" s="62"/>
      <c r="M25" s="62"/>
      <c r="N25" s="62"/>
      <c r="O25" s="62"/>
      <c r="P25" s="62"/>
      <c r="Q25" s="58"/>
      <c r="R25" s="58"/>
      <c r="S25" s="58"/>
      <c r="T25" s="58"/>
      <c r="U25" s="58"/>
      <c r="V25" s="58"/>
    </row>
    <row r="26" spans="1:22" ht="12.75">
      <c r="A26" s="62"/>
      <c r="B26" s="62"/>
      <c r="C26" s="62"/>
      <c r="D26" s="62"/>
      <c r="E26" s="62"/>
      <c r="F26" s="62"/>
      <c r="G26" s="62"/>
      <c r="H26" s="62"/>
      <c r="I26" s="62"/>
      <c r="J26" s="62"/>
      <c r="K26" s="62"/>
      <c r="L26" s="62"/>
      <c r="M26" s="62"/>
      <c r="N26" s="62"/>
      <c r="O26" s="62"/>
      <c r="P26" s="62"/>
      <c r="Q26" s="58"/>
      <c r="R26" s="58"/>
      <c r="S26" s="58"/>
      <c r="T26" s="58"/>
      <c r="U26" s="58"/>
      <c r="V26" s="58"/>
    </row>
    <row r="27" spans="1:22" ht="12.75">
      <c r="A27" s="62"/>
      <c r="B27" s="62"/>
      <c r="C27" s="62"/>
      <c r="D27" s="62"/>
      <c r="E27" s="62"/>
      <c r="F27" s="62"/>
      <c r="G27" s="62"/>
      <c r="H27" s="62"/>
      <c r="I27" s="62"/>
      <c r="J27" s="62"/>
      <c r="K27" s="62"/>
      <c r="L27" s="62"/>
      <c r="M27" s="62"/>
      <c r="N27" s="62"/>
      <c r="O27" s="62"/>
      <c r="P27" s="62"/>
      <c r="Q27" s="58"/>
      <c r="R27" s="58"/>
      <c r="S27" s="58"/>
      <c r="T27" s="58"/>
      <c r="U27" s="58"/>
      <c r="V27" s="58"/>
    </row>
    <row r="28" spans="1:22" ht="12.75">
      <c r="A28" s="62"/>
      <c r="B28" s="160"/>
      <c r="C28" s="62"/>
      <c r="D28" s="85"/>
      <c r="E28" s="62"/>
      <c r="F28" s="62"/>
      <c r="G28" s="62"/>
      <c r="H28" s="62"/>
      <c r="I28" s="62"/>
      <c r="J28" s="62"/>
      <c r="K28" s="62"/>
      <c r="L28" s="62"/>
      <c r="M28" s="62"/>
      <c r="N28" s="62"/>
      <c r="O28" s="62"/>
      <c r="P28" s="62"/>
      <c r="Q28" s="58"/>
      <c r="R28" s="58"/>
      <c r="S28" s="58"/>
      <c r="T28" s="58"/>
      <c r="U28" s="58"/>
      <c r="V28" s="58"/>
    </row>
    <row r="29" spans="1:22" ht="12.75">
      <c r="A29" s="62"/>
      <c r="B29" s="62"/>
      <c r="C29" s="62"/>
      <c r="D29" s="62"/>
      <c r="E29" s="62"/>
      <c r="F29" s="62"/>
      <c r="G29" s="62"/>
      <c r="H29" s="62"/>
      <c r="I29" s="62"/>
      <c r="J29" s="62"/>
      <c r="K29" s="62"/>
      <c r="L29" s="62"/>
      <c r="M29" s="62"/>
      <c r="N29" s="62"/>
      <c r="O29" s="62"/>
      <c r="P29" s="62"/>
      <c r="Q29" s="58"/>
      <c r="R29" s="58"/>
      <c r="S29" s="58"/>
      <c r="T29" s="58"/>
      <c r="U29" s="58"/>
      <c r="V29" s="58"/>
    </row>
    <row r="30" spans="1:22" ht="12.75">
      <c r="A30" s="62"/>
      <c r="B30" s="160"/>
      <c r="C30" s="62"/>
      <c r="D30" s="62"/>
      <c r="E30" s="62"/>
      <c r="F30" s="62"/>
      <c r="G30" s="62"/>
      <c r="H30" s="62"/>
      <c r="I30" s="62"/>
      <c r="J30" s="62"/>
      <c r="K30" s="62"/>
      <c r="L30" s="62"/>
      <c r="M30" s="62"/>
      <c r="N30" s="62"/>
      <c r="O30" s="62"/>
      <c r="P30" s="62"/>
      <c r="Q30" s="58"/>
      <c r="R30" s="58"/>
      <c r="S30" s="58"/>
      <c r="T30" s="58"/>
      <c r="U30" s="58"/>
      <c r="V30" s="58"/>
    </row>
    <row r="31" spans="1:22" ht="12.75">
      <c r="A31" s="62"/>
      <c r="B31" s="160"/>
      <c r="C31" s="62"/>
      <c r="D31" s="85"/>
      <c r="E31" s="62"/>
      <c r="F31" s="62"/>
      <c r="G31" s="62"/>
      <c r="H31" s="62"/>
      <c r="I31" s="62"/>
      <c r="J31" s="62"/>
      <c r="K31" s="62"/>
      <c r="L31" s="62"/>
      <c r="M31" s="62"/>
      <c r="N31" s="62"/>
      <c r="O31" s="62"/>
      <c r="P31" s="62"/>
      <c r="Q31" s="58"/>
      <c r="R31" s="58"/>
      <c r="S31" s="58"/>
      <c r="T31" s="58"/>
      <c r="U31" s="58"/>
      <c r="V31" s="58"/>
    </row>
    <row r="32" spans="1:22" ht="12.75">
      <c r="A32" s="62"/>
      <c r="B32" s="62"/>
      <c r="C32" s="62"/>
      <c r="D32" s="62"/>
      <c r="E32" s="62"/>
      <c r="F32" s="62"/>
      <c r="G32" s="62"/>
      <c r="H32" s="62"/>
      <c r="I32" s="62"/>
      <c r="J32" s="62"/>
      <c r="K32" s="62"/>
      <c r="L32" s="62"/>
      <c r="M32" s="62"/>
      <c r="N32" s="62"/>
      <c r="O32" s="62"/>
      <c r="P32" s="62"/>
      <c r="Q32" s="58"/>
      <c r="R32" s="58"/>
      <c r="S32" s="58"/>
      <c r="T32" s="58"/>
      <c r="U32" s="58"/>
      <c r="V32" s="58"/>
    </row>
    <row r="33" spans="1:22" ht="12.75">
      <c r="A33" s="62"/>
      <c r="B33" s="160"/>
      <c r="C33" s="62"/>
      <c r="D33" s="161"/>
      <c r="E33" s="62"/>
      <c r="F33" s="62"/>
      <c r="G33" s="62"/>
      <c r="H33" s="62"/>
      <c r="I33" s="62"/>
      <c r="J33" s="62"/>
      <c r="K33" s="62"/>
      <c r="L33" s="62"/>
      <c r="M33" s="62"/>
      <c r="N33" s="62"/>
      <c r="O33" s="62"/>
      <c r="P33" s="62"/>
      <c r="Q33" s="58"/>
      <c r="R33" s="58"/>
      <c r="S33" s="58"/>
      <c r="T33" s="58"/>
      <c r="U33" s="58"/>
      <c r="V33" s="58"/>
    </row>
    <row r="34" spans="1:22" ht="12.75">
      <c r="A34" s="62"/>
      <c r="B34" s="62"/>
      <c r="C34" s="62"/>
      <c r="D34" s="62"/>
      <c r="E34" s="62"/>
      <c r="F34" s="62"/>
      <c r="G34" s="62"/>
      <c r="H34" s="62"/>
      <c r="I34" s="62"/>
      <c r="J34" s="62"/>
      <c r="K34" s="62"/>
      <c r="L34" s="62"/>
      <c r="M34" s="62"/>
      <c r="N34" s="62"/>
      <c r="O34" s="62"/>
      <c r="P34" s="62"/>
      <c r="Q34" s="58"/>
      <c r="R34" s="58"/>
      <c r="S34" s="58"/>
      <c r="T34" s="58"/>
      <c r="U34" s="58"/>
      <c r="V34" s="58"/>
    </row>
    <row r="35" spans="1:22" ht="12.75">
      <c r="A35" s="62"/>
      <c r="B35" s="62"/>
      <c r="C35" s="62"/>
      <c r="D35" s="62"/>
      <c r="E35" s="62"/>
      <c r="F35" s="62"/>
      <c r="G35" s="62"/>
      <c r="H35" s="62"/>
      <c r="I35" s="62"/>
      <c r="J35" s="62"/>
      <c r="K35" s="62"/>
      <c r="L35" s="62"/>
      <c r="M35" s="62"/>
      <c r="N35" s="62"/>
      <c r="O35" s="62"/>
      <c r="P35" s="62"/>
      <c r="Q35" s="58"/>
      <c r="R35" s="58"/>
      <c r="S35" s="58"/>
      <c r="T35" s="58"/>
      <c r="U35" s="58"/>
      <c r="V35" s="58"/>
    </row>
    <row r="36" spans="1:22" ht="12.75">
      <c r="A36" s="62"/>
      <c r="B36" s="62"/>
      <c r="C36" s="62"/>
      <c r="D36" s="62"/>
      <c r="E36" s="62"/>
      <c r="F36" s="62"/>
      <c r="G36" s="62"/>
      <c r="H36" s="62"/>
      <c r="I36" s="62"/>
      <c r="J36" s="62"/>
      <c r="K36" s="62"/>
      <c r="L36" s="62"/>
      <c r="M36" s="62"/>
      <c r="N36" s="62"/>
      <c r="O36" s="62"/>
      <c r="P36" s="62"/>
      <c r="Q36" s="58"/>
      <c r="R36" s="58"/>
      <c r="S36" s="58"/>
      <c r="T36" s="58"/>
      <c r="U36" s="58"/>
      <c r="V36" s="58"/>
    </row>
    <row r="37" spans="1:22" ht="12.75">
      <c r="A37" s="58"/>
      <c r="B37" s="58"/>
      <c r="C37" s="58"/>
      <c r="D37" s="58"/>
      <c r="E37" s="58"/>
      <c r="F37" s="58"/>
      <c r="G37" s="58"/>
      <c r="H37" s="58"/>
      <c r="I37" s="58"/>
      <c r="J37" s="58"/>
      <c r="K37" s="58"/>
      <c r="L37" s="58"/>
      <c r="M37" s="58"/>
      <c r="N37" s="58"/>
      <c r="O37" s="58"/>
      <c r="P37" s="58"/>
      <c r="Q37" s="58"/>
      <c r="R37" s="58"/>
      <c r="S37" s="58"/>
      <c r="T37" s="58"/>
      <c r="U37" s="58"/>
      <c r="V37" s="58"/>
    </row>
    <row r="38" spans="1:22" ht="12.75">
      <c r="A38" s="58"/>
      <c r="B38" s="58"/>
      <c r="C38" s="58"/>
      <c r="D38" s="58"/>
      <c r="E38" s="58"/>
      <c r="F38" s="58"/>
      <c r="G38" s="58"/>
      <c r="H38" s="58"/>
      <c r="I38" s="58"/>
      <c r="J38" s="58"/>
      <c r="K38" s="58"/>
      <c r="L38" s="58"/>
      <c r="M38" s="58"/>
      <c r="N38" s="58"/>
      <c r="O38" s="58"/>
      <c r="P38" s="58"/>
      <c r="Q38" s="58"/>
      <c r="R38" s="58"/>
      <c r="S38" s="58"/>
      <c r="T38" s="58"/>
      <c r="U38" s="58"/>
      <c r="V38" s="58"/>
    </row>
    <row r="39" spans="1:22" ht="12.75">
      <c r="A39" s="58"/>
      <c r="B39" s="58"/>
      <c r="C39" s="58"/>
      <c r="D39" s="58"/>
      <c r="E39" s="58"/>
      <c r="F39" s="58"/>
      <c r="G39" s="58"/>
      <c r="H39" s="58"/>
      <c r="I39" s="58"/>
      <c r="J39" s="58"/>
      <c r="K39" s="58"/>
      <c r="L39" s="58"/>
      <c r="M39" s="58"/>
      <c r="N39" s="58"/>
      <c r="O39" s="58"/>
      <c r="P39" s="58"/>
      <c r="Q39" s="58"/>
      <c r="R39" s="58"/>
      <c r="S39" s="58"/>
      <c r="T39" s="58"/>
      <c r="U39" s="58"/>
      <c r="V39" s="58"/>
    </row>
    <row r="40" spans="1:22" ht="12.75">
      <c r="A40" s="58"/>
      <c r="B40" s="58"/>
      <c r="C40" s="58"/>
      <c r="D40" s="58"/>
      <c r="E40" s="58"/>
      <c r="F40" s="58"/>
      <c r="G40" s="58"/>
      <c r="H40" s="58"/>
      <c r="I40" s="58"/>
      <c r="J40" s="58"/>
      <c r="K40" s="58"/>
      <c r="L40" s="58"/>
      <c r="M40" s="58"/>
      <c r="N40" s="58"/>
      <c r="O40" s="58"/>
      <c r="P40" s="58"/>
      <c r="Q40" s="58"/>
      <c r="R40" s="58"/>
      <c r="S40" s="58"/>
      <c r="T40" s="58"/>
      <c r="U40" s="58"/>
      <c r="V40" s="58"/>
    </row>
    <row r="41" spans="1:22" ht="12.75">
      <c r="A41" s="58"/>
      <c r="B41" s="58"/>
      <c r="C41" s="58"/>
      <c r="D41" s="58"/>
      <c r="E41" s="58"/>
      <c r="F41" s="58"/>
      <c r="G41" s="58"/>
      <c r="H41" s="58"/>
      <c r="I41" s="58"/>
      <c r="J41" s="58"/>
      <c r="K41" s="58"/>
      <c r="L41" s="58"/>
      <c r="M41" s="58"/>
      <c r="N41" s="58"/>
      <c r="O41" s="58"/>
      <c r="P41" s="58"/>
      <c r="Q41" s="58"/>
      <c r="R41" s="58"/>
      <c r="S41" s="58"/>
      <c r="T41" s="58"/>
      <c r="U41" s="58"/>
      <c r="V41" s="58"/>
    </row>
    <row r="42" spans="1:22" ht="12.75">
      <c r="A42" s="58"/>
      <c r="B42" s="58"/>
      <c r="C42" s="58"/>
      <c r="D42" s="58"/>
      <c r="E42" s="58"/>
      <c r="F42" s="58"/>
      <c r="G42" s="58"/>
      <c r="H42" s="58"/>
      <c r="I42" s="58"/>
      <c r="J42" s="58"/>
      <c r="K42" s="58"/>
      <c r="L42" s="58"/>
      <c r="M42" s="58"/>
      <c r="N42" s="58"/>
      <c r="O42" s="58"/>
      <c r="P42" s="58"/>
      <c r="Q42" s="58"/>
      <c r="R42" s="58"/>
      <c r="S42" s="58"/>
      <c r="T42" s="58"/>
      <c r="U42" s="58"/>
      <c r="V42" s="58"/>
    </row>
  </sheetData>
  <sheetProtection/>
  <mergeCells count="4">
    <mergeCell ref="B10:C10"/>
    <mergeCell ref="B8:C8"/>
    <mergeCell ref="C6:H6"/>
    <mergeCell ref="B3:D3"/>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6">
    <tabColor rgb="FFFFFF00"/>
  </sheetPr>
  <dimension ref="A1:AB71"/>
  <sheetViews>
    <sheetView zoomScalePageLayoutView="0" workbookViewId="0" topLeftCell="A1">
      <selection activeCell="B6" sqref="B6"/>
    </sheetView>
  </sheetViews>
  <sheetFormatPr defaultColWidth="9.33203125" defaultRowHeight="12.75"/>
  <cols>
    <col min="1" max="1" width="4.16015625" style="0" customWidth="1"/>
    <col min="2" max="2" width="20" style="0" customWidth="1"/>
    <col min="3" max="3" width="13.5" style="0" customWidth="1"/>
    <col min="4" max="4" width="14.16015625" style="40" bestFit="1" customWidth="1"/>
    <col min="5" max="5" width="14.16015625" style="40" customWidth="1"/>
    <col min="6" max="6" width="11.66015625" style="0" customWidth="1"/>
    <col min="9" max="9" width="10.5" style="0" customWidth="1"/>
    <col min="10" max="10" width="11.66015625" style="0" customWidth="1"/>
  </cols>
  <sheetData>
    <row r="1" spans="1:28" ht="12.75">
      <c r="A1" s="58"/>
      <c r="B1" s="58"/>
      <c r="C1" s="58"/>
      <c r="D1" s="66"/>
      <c r="E1" s="66"/>
      <c r="F1" s="58"/>
      <c r="G1" s="58"/>
      <c r="H1" s="58"/>
      <c r="I1" s="58"/>
      <c r="J1" s="58"/>
      <c r="K1" s="58"/>
      <c r="L1" s="58"/>
      <c r="M1" s="58"/>
      <c r="N1" s="58"/>
      <c r="O1" s="58"/>
      <c r="P1" s="58"/>
      <c r="R1" s="58"/>
      <c r="S1" s="58"/>
      <c r="T1" s="58"/>
      <c r="U1" s="58"/>
      <c r="V1" s="58"/>
      <c r="W1" s="58"/>
      <c r="X1" s="58"/>
      <c r="Y1" s="58"/>
      <c r="Z1" s="58"/>
      <c r="AA1" s="58"/>
      <c r="AB1" s="58"/>
    </row>
    <row r="2" spans="1:28" ht="30">
      <c r="A2" s="58"/>
      <c r="B2" s="440" t="s">
        <v>170</v>
      </c>
      <c r="C2" s="440"/>
      <c r="D2" s="416"/>
      <c r="E2" s="416"/>
      <c r="F2" s="416"/>
      <c r="G2" s="416"/>
      <c r="H2" s="58"/>
      <c r="I2" s="58"/>
      <c r="J2" s="72" t="s">
        <v>116</v>
      </c>
      <c r="K2" s="73">
        <f>name</f>
        <v>0</v>
      </c>
      <c r="L2" s="58"/>
      <c r="M2" s="58"/>
      <c r="N2" s="58"/>
      <c r="O2" s="58"/>
      <c r="P2" s="58"/>
      <c r="Q2" s="58"/>
      <c r="R2" s="58"/>
      <c r="S2" s="58"/>
      <c r="T2" s="58"/>
      <c r="U2" s="58"/>
      <c r="V2" s="58"/>
      <c r="W2" s="58"/>
      <c r="X2" s="58"/>
      <c r="Y2" s="58"/>
      <c r="Z2" s="58"/>
      <c r="AA2" s="58"/>
      <c r="AB2" s="58"/>
    </row>
    <row r="3" spans="1:28" ht="15.75">
      <c r="A3" s="58"/>
      <c r="B3" s="58"/>
      <c r="C3" s="58"/>
      <c r="D3" s="66"/>
      <c r="E3" s="66"/>
      <c r="F3" s="58"/>
      <c r="G3" s="58"/>
      <c r="H3" s="58"/>
      <c r="I3" s="58"/>
      <c r="J3" s="72" t="s">
        <v>115</v>
      </c>
      <c r="K3" s="73">
        <f>corpyear</f>
        <v>0</v>
      </c>
      <c r="L3" s="58"/>
      <c r="M3" s="58"/>
      <c r="N3" s="58"/>
      <c r="O3" s="58"/>
      <c r="P3" s="58"/>
      <c r="Q3" s="58"/>
      <c r="R3" s="58"/>
      <c r="S3" s="58"/>
      <c r="T3" s="58"/>
      <c r="U3" s="58"/>
      <c r="V3" s="58"/>
      <c r="W3" s="58"/>
      <c r="X3" s="58"/>
      <c r="Y3" s="58"/>
      <c r="Z3" s="58"/>
      <c r="AA3" s="58"/>
      <c r="AB3" s="58"/>
    </row>
    <row r="4" spans="1:28" ht="12.75">
      <c r="A4" s="58"/>
      <c r="B4" s="58"/>
      <c r="C4" s="58"/>
      <c r="D4" s="66"/>
      <c r="E4" s="66"/>
      <c r="F4" s="58"/>
      <c r="G4" s="58"/>
      <c r="H4" s="58"/>
      <c r="I4" s="58"/>
      <c r="J4" s="58"/>
      <c r="K4" s="58"/>
      <c r="L4" s="58"/>
      <c r="M4" s="58"/>
      <c r="N4" s="58"/>
      <c r="O4" s="58"/>
      <c r="P4" s="58"/>
      <c r="Q4" s="58"/>
      <c r="R4" s="58"/>
      <c r="S4" s="58"/>
      <c r="T4" s="58"/>
      <c r="U4" s="58"/>
      <c r="V4" s="58"/>
      <c r="W4" s="58"/>
      <c r="X4" s="58"/>
      <c r="Y4" s="58"/>
      <c r="Z4" s="58"/>
      <c r="AA4" s="58"/>
      <c r="AB4" s="58"/>
    </row>
    <row r="5" spans="1:28" ht="12.75">
      <c r="A5" s="58"/>
      <c r="B5" s="58"/>
      <c r="C5" s="58"/>
      <c r="D5" s="66"/>
      <c r="E5" s="66"/>
      <c r="F5" s="58"/>
      <c r="G5" s="58"/>
      <c r="H5" s="58"/>
      <c r="I5" s="58"/>
      <c r="J5" s="58"/>
      <c r="K5" s="58"/>
      <c r="L5" s="58"/>
      <c r="M5" s="58"/>
      <c r="N5" s="58"/>
      <c r="O5" s="58"/>
      <c r="P5" s="58"/>
      <c r="Q5" s="58"/>
      <c r="R5" s="58"/>
      <c r="S5" s="58"/>
      <c r="T5" s="58"/>
      <c r="U5" s="58"/>
      <c r="V5" s="58"/>
      <c r="W5" s="58"/>
      <c r="X5" s="58"/>
      <c r="Y5" s="58"/>
      <c r="Z5" s="58"/>
      <c r="AA5" s="58"/>
      <c r="AB5" s="58"/>
    </row>
    <row r="6" spans="1:28" ht="12.75">
      <c r="A6" s="58"/>
      <c r="B6" s="58"/>
      <c r="C6" s="58"/>
      <c r="D6" s="66"/>
      <c r="E6" s="66"/>
      <c r="F6" s="58"/>
      <c r="G6" s="58"/>
      <c r="H6" s="58"/>
      <c r="I6" s="58"/>
      <c r="J6" s="58"/>
      <c r="K6" s="58"/>
      <c r="L6" s="58"/>
      <c r="M6" s="58"/>
      <c r="N6" s="58"/>
      <c r="O6" s="58"/>
      <c r="P6" s="58"/>
      <c r="Q6" s="58"/>
      <c r="R6" s="58"/>
      <c r="S6" s="58"/>
      <c r="T6" s="58"/>
      <c r="U6" s="58"/>
      <c r="V6" s="58"/>
      <c r="W6" s="58"/>
      <c r="X6" s="58"/>
      <c r="Y6" s="58"/>
      <c r="Z6" s="58"/>
      <c r="AA6" s="58"/>
      <c r="AB6" s="58"/>
    </row>
    <row r="7" spans="1:28" ht="15" thickBot="1">
      <c r="A7" s="58"/>
      <c r="B7" s="71" t="s">
        <v>251</v>
      </c>
      <c r="C7" s="71"/>
      <c r="D7" s="66"/>
      <c r="E7" s="66"/>
      <c r="F7" s="58"/>
      <c r="G7" s="58"/>
      <c r="H7" s="58"/>
      <c r="I7" s="58"/>
      <c r="J7" s="58"/>
      <c r="K7" s="58"/>
      <c r="L7" s="58"/>
      <c r="M7" s="58"/>
      <c r="N7" s="58"/>
      <c r="O7" s="58"/>
      <c r="P7" s="58"/>
      <c r="Q7" s="58"/>
      <c r="R7" s="58"/>
      <c r="S7" s="58"/>
      <c r="T7" s="58"/>
      <c r="U7" s="58"/>
      <c r="V7" s="58"/>
      <c r="W7" s="58"/>
      <c r="X7" s="58"/>
      <c r="Y7" s="58"/>
      <c r="Z7" s="58"/>
      <c r="AA7" s="58"/>
      <c r="AB7" s="58"/>
    </row>
    <row r="8" spans="1:28" ht="14.25">
      <c r="A8" s="58"/>
      <c r="B8" s="6" t="s">
        <v>111</v>
      </c>
      <c r="C8" s="193" t="s">
        <v>230</v>
      </c>
      <c r="D8" s="183" t="s">
        <v>205</v>
      </c>
      <c r="E8" s="66"/>
      <c r="F8" s="58"/>
      <c r="G8" s="58"/>
      <c r="H8" s="58"/>
      <c r="I8" s="58"/>
      <c r="J8" s="58"/>
      <c r="K8" s="58"/>
      <c r="L8" s="58"/>
      <c r="M8" s="58"/>
      <c r="N8" s="58"/>
      <c r="O8" s="58"/>
      <c r="P8" s="58"/>
      <c r="Q8" s="58"/>
      <c r="R8" s="58"/>
      <c r="S8" s="58"/>
      <c r="T8" s="58"/>
      <c r="U8" s="58"/>
      <c r="V8" s="58"/>
      <c r="W8" s="58"/>
      <c r="X8" s="58"/>
      <c r="Y8" s="58"/>
      <c r="Z8" s="58"/>
      <c r="AA8" s="58"/>
      <c r="AB8" s="58"/>
    </row>
    <row r="9" spans="1:28" ht="12.75">
      <c r="A9" s="58"/>
      <c r="B9" s="3" t="s">
        <v>76</v>
      </c>
      <c r="C9" s="379" t="e">
        <f>ResEnergy</f>
        <v>#VALUE!</v>
      </c>
      <c r="D9" s="378" t="e">
        <f>Residential!F16</f>
        <v>#N/A</v>
      </c>
      <c r="E9" s="66"/>
      <c r="F9" s="58"/>
      <c r="G9" s="58"/>
      <c r="H9" s="58"/>
      <c r="I9" s="58"/>
      <c r="J9" s="58"/>
      <c r="K9" s="58"/>
      <c r="L9" s="58"/>
      <c r="M9" s="58"/>
      <c r="N9" s="58"/>
      <c r="O9" s="58"/>
      <c r="P9" s="58"/>
      <c r="Q9" s="58"/>
      <c r="R9" s="58"/>
      <c r="S9" s="58"/>
      <c r="T9" s="58"/>
      <c r="U9" s="58"/>
      <c r="V9" s="58"/>
      <c r="W9" s="58"/>
      <c r="X9" s="58"/>
      <c r="Y9" s="58"/>
      <c r="Z9" s="58"/>
      <c r="AA9" s="58"/>
      <c r="AB9" s="58"/>
    </row>
    <row r="10" spans="1:28" ht="12.75">
      <c r="A10" s="58"/>
      <c r="B10" s="3" t="s">
        <v>176</v>
      </c>
      <c r="C10" s="379" t="e">
        <f>CommEnergy</f>
        <v>#VALUE!</v>
      </c>
      <c r="D10" s="378" t="e">
        <f>Commercial!F16</f>
        <v>#N/A</v>
      </c>
      <c r="E10" s="66"/>
      <c r="F10" s="58"/>
      <c r="G10" s="58"/>
      <c r="H10" s="58"/>
      <c r="I10" s="58"/>
      <c r="J10" s="58"/>
      <c r="K10" s="58"/>
      <c r="L10" s="58"/>
      <c r="M10" s="58"/>
      <c r="N10" s="58"/>
      <c r="O10" s="58"/>
      <c r="P10" s="58"/>
      <c r="Q10" s="58"/>
      <c r="R10" s="58"/>
      <c r="S10" s="58"/>
      <c r="T10" s="58"/>
      <c r="U10" s="58"/>
      <c r="V10" s="58"/>
      <c r="W10" s="58"/>
      <c r="X10" s="58"/>
      <c r="Y10" s="58"/>
      <c r="Z10" s="58"/>
      <c r="AA10" s="58"/>
      <c r="AB10" s="58"/>
    </row>
    <row r="11" spans="1:28" ht="12.75">
      <c r="A11" s="58"/>
      <c r="B11" s="3" t="s">
        <v>79</v>
      </c>
      <c r="C11" s="379" t="e">
        <f>IndEnergy</f>
        <v>#VALUE!</v>
      </c>
      <c r="D11" s="378" t="e">
        <f>Industrial!F16</f>
        <v>#N/A</v>
      </c>
      <c r="E11" s="66"/>
      <c r="F11" s="58"/>
      <c r="G11" s="58"/>
      <c r="H11" s="58"/>
      <c r="I11" s="58"/>
      <c r="J11" s="58"/>
      <c r="K11" s="58"/>
      <c r="L11" s="58"/>
      <c r="M11" s="58"/>
      <c r="N11" s="58"/>
      <c r="O11" s="58"/>
      <c r="P11" s="58"/>
      <c r="Q11" s="58"/>
      <c r="R11" s="58"/>
      <c r="S11" s="58"/>
      <c r="T11" s="58"/>
      <c r="U11" s="58"/>
      <c r="V11" s="58"/>
      <c r="W11" s="58"/>
      <c r="X11" s="58"/>
      <c r="Y11" s="58"/>
      <c r="Z11" s="58"/>
      <c r="AA11" s="58"/>
      <c r="AB11" s="58"/>
    </row>
    <row r="12" spans="1:28" ht="12.75">
      <c r="A12" s="58"/>
      <c r="B12" s="3" t="s">
        <v>88</v>
      </c>
      <c r="C12" s="379" t="e">
        <f>TransEnergy</f>
        <v>#VALUE!</v>
      </c>
      <c r="D12" s="378">
        <f>Transco2e</f>
        <v>0</v>
      </c>
      <c r="E12" s="66"/>
      <c r="F12" s="58"/>
      <c r="G12" s="58"/>
      <c r="H12" s="58"/>
      <c r="I12" s="58"/>
      <c r="J12" s="58"/>
      <c r="K12" s="58"/>
      <c r="L12" s="58"/>
      <c r="M12" s="58"/>
      <c r="N12" s="58"/>
      <c r="O12" s="58"/>
      <c r="P12" s="58"/>
      <c r="Q12" s="58"/>
      <c r="R12" s="58"/>
      <c r="S12" s="58"/>
      <c r="T12" s="58"/>
      <c r="U12" s="58"/>
      <c r="V12" s="58"/>
      <c r="W12" s="58"/>
      <c r="X12" s="58"/>
      <c r="Y12" s="58"/>
      <c r="Z12" s="58"/>
      <c r="AA12" s="58"/>
      <c r="AB12" s="58"/>
    </row>
    <row r="13" spans="1:28" ht="12.75">
      <c r="A13" s="58"/>
      <c r="B13" s="3" t="s">
        <v>117</v>
      </c>
      <c r="C13" s="246" t="s">
        <v>112</v>
      </c>
      <c r="D13" s="191">
        <f>'Com. Waste'!D10</f>
        <v>0</v>
      </c>
      <c r="E13" s="66"/>
      <c r="F13" s="58"/>
      <c r="G13" s="58"/>
      <c r="H13" s="58"/>
      <c r="I13" s="58"/>
      <c r="J13" s="58"/>
      <c r="K13" s="58"/>
      <c r="L13" s="58"/>
      <c r="M13" s="58"/>
      <c r="N13" s="58"/>
      <c r="O13" s="58"/>
      <c r="P13" s="58"/>
      <c r="Q13" s="58"/>
      <c r="R13" s="58"/>
      <c r="S13" s="58"/>
      <c r="T13" s="58"/>
      <c r="U13" s="58"/>
      <c r="V13" s="58"/>
      <c r="W13" s="58"/>
      <c r="X13" s="58"/>
      <c r="Y13" s="58"/>
      <c r="Z13" s="58"/>
      <c r="AA13" s="58"/>
      <c r="AB13" s="58"/>
    </row>
    <row r="14" spans="1:28" ht="16.5" thickBot="1">
      <c r="A14" s="58"/>
      <c r="B14" s="212" t="s">
        <v>62</v>
      </c>
      <c r="C14" s="374" t="e">
        <f>SUM(C9:C12)</f>
        <v>#VALUE!</v>
      </c>
      <c r="D14" s="375" t="e">
        <f>SUM(D9:D13)</f>
        <v>#N/A</v>
      </c>
      <c r="E14" s="66"/>
      <c r="F14" s="58"/>
      <c r="G14" s="58"/>
      <c r="H14" s="58"/>
      <c r="I14" s="58"/>
      <c r="J14" s="58"/>
      <c r="K14" s="58"/>
      <c r="L14" s="58"/>
      <c r="M14" s="58"/>
      <c r="N14" s="58"/>
      <c r="O14" s="58"/>
      <c r="P14" s="58"/>
      <c r="Q14" s="58"/>
      <c r="R14" s="58"/>
      <c r="S14" s="58"/>
      <c r="T14" s="58"/>
      <c r="U14" s="58"/>
      <c r="V14" s="58"/>
      <c r="W14" s="58"/>
      <c r="X14" s="58"/>
      <c r="Y14" s="58"/>
      <c r="Z14" s="58"/>
      <c r="AA14" s="58"/>
      <c r="AB14" s="58"/>
    </row>
    <row r="15" spans="1:28" ht="12.75">
      <c r="A15" s="58"/>
      <c r="B15" s="58"/>
      <c r="C15" s="58"/>
      <c r="D15" s="66"/>
      <c r="E15" s="66"/>
      <c r="F15" s="58"/>
      <c r="G15" s="58"/>
      <c r="H15" s="58"/>
      <c r="I15" s="58"/>
      <c r="J15" s="58"/>
      <c r="K15" s="58"/>
      <c r="L15" s="58"/>
      <c r="M15" s="58"/>
      <c r="N15" s="58"/>
      <c r="O15" s="58"/>
      <c r="P15" s="58"/>
      <c r="Q15" s="58"/>
      <c r="R15" s="58"/>
      <c r="S15" s="58"/>
      <c r="T15" s="58"/>
      <c r="U15" s="58"/>
      <c r="V15" s="58"/>
      <c r="W15" s="58"/>
      <c r="X15" s="58"/>
      <c r="Y15" s="58"/>
      <c r="Z15" s="58"/>
      <c r="AA15" s="58"/>
      <c r="AB15" s="58"/>
    </row>
    <row r="16" spans="1:28" ht="12.75">
      <c r="A16" s="58"/>
      <c r="B16" s="58"/>
      <c r="C16" s="58"/>
      <c r="D16" s="66"/>
      <c r="E16" s="66"/>
      <c r="F16" s="58"/>
      <c r="G16" s="58"/>
      <c r="H16" s="58"/>
      <c r="I16" s="58"/>
      <c r="J16" s="58"/>
      <c r="K16" s="58"/>
      <c r="L16" s="58"/>
      <c r="M16" s="58"/>
      <c r="N16" s="58"/>
      <c r="O16" s="58"/>
      <c r="P16" s="58"/>
      <c r="Q16" s="58"/>
      <c r="R16" s="58"/>
      <c r="S16" s="58"/>
      <c r="T16" s="58"/>
      <c r="U16" s="58"/>
      <c r="V16" s="58"/>
      <c r="W16" s="58"/>
      <c r="X16" s="58"/>
      <c r="Y16" s="58"/>
      <c r="Z16" s="58"/>
      <c r="AA16" s="58"/>
      <c r="AB16" s="58"/>
    </row>
    <row r="17" spans="1:28" ht="12.75">
      <c r="A17" s="58"/>
      <c r="B17" s="58"/>
      <c r="C17" s="58"/>
      <c r="D17" s="66"/>
      <c r="E17" s="66"/>
      <c r="F17" s="58"/>
      <c r="G17" s="58"/>
      <c r="H17" s="58"/>
      <c r="I17" s="58"/>
      <c r="J17" s="58"/>
      <c r="K17" s="58"/>
      <c r="L17" s="58"/>
      <c r="M17" s="58"/>
      <c r="N17" s="58"/>
      <c r="O17" s="58"/>
      <c r="P17" s="58"/>
      <c r="Q17" s="58"/>
      <c r="R17" s="58"/>
      <c r="S17" s="58"/>
      <c r="T17" s="58"/>
      <c r="U17" s="58"/>
      <c r="V17" s="58"/>
      <c r="W17" s="58"/>
      <c r="X17" s="58"/>
      <c r="Y17" s="58"/>
      <c r="Z17" s="58"/>
      <c r="AA17" s="58"/>
      <c r="AB17" s="58"/>
    </row>
    <row r="18" spans="1:28" ht="12.75">
      <c r="A18" s="58"/>
      <c r="B18" s="58"/>
      <c r="C18" s="58"/>
      <c r="D18" s="66"/>
      <c r="E18" s="66"/>
      <c r="F18" s="58"/>
      <c r="G18" s="58"/>
      <c r="H18" s="58"/>
      <c r="I18" s="58"/>
      <c r="J18" s="58"/>
      <c r="K18" s="58"/>
      <c r="L18" s="58"/>
      <c r="M18" s="58"/>
      <c r="N18" s="58"/>
      <c r="O18" s="58"/>
      <c r="P18" s="58"/>
      <c r="Q18" s="58"/>
      <c r="R18" s="58"/>
      <c r="S18" s="58"/>
      <c r="T18" s="58"/>
      <c r="U18" s="58"/>
      <c r="V18" s="58"/>
      <c r="W18" s="58"/>
      <c r="X18" s="58"/>
      <c r="Y18" s="58"/>
      <c r="Z18" s="58"/>
      <c r="AA18" s="58"/>
      <c r="AB18" s="58"/>
    </row>
    <row r="19" spans="1:28" ht="12.75">
      <c r="A19" s="58"/>
      <c r="B19" s="58"/>
      <c r="C19" s="58"/>
      <c r="D19" s="66"/>
      <c r="E19" s="66"/>
      <c r="F19" s="58"/>
      <c r="G19" s="58"/>
      <c r="H19" s="58"/>
      <c r="I19" s="58"/>
      <c r="J19" s="58"/>
      <c r="K19" s="58"/>
      <c r="L19" s="58"/>
      <c r="M19" s="58"/>
      <c r="N19" s="58"/>
      <c r="O19" s="58"/>
      <c r="P19" s="58"/>
      <c r="Q19" s="58"/>
      <c r="R19" s="58"/>
      <c r="S19" s="58"/>
      <c r="T19" s="58"/>
      <c r="U19" s="58"/>
      <c r="V19" s="58"/>
      <c r="W19" s="58"/>
      <c r="X19" s="58"/>
      <c r="Y19" s="58"/>
      <c r="Z19" s="58"/>
      <c r="AA19" s="58"/>
      <c r="AB19" s="58"/>
    </row>
    <row r="20" spans="1:28" ht="15" thickBot="1">
      <c r="A20" s="58"/>
      <c r="B20" s="71" t="s">
        <v>250</v>
      </c>
      <c r="C20" s="71"/>
      <c r="D20" s="66"/>
      <c r="E20" s="66"/>
      <c r="F20" s="58"/>
      <c r="G20" s="58"/>
      <c r="H20" s="58"/>
      <c r="I20" s="58"/>
      <c r="J20" s="58"/>
      <c r="K20" s="58"/>
      <c r="L20" s="58"/>
      <c r="M20" s="58"/>
      <c r="N20" s="58"/>
      <c r="O20" s="58"/>
      <c r="P20" s="58"/>
      <c r="Q20" s="58"/>
      <c r="R20" s="58"/>
      <c r="S20" s="58"/>
      <c r="T20" s="58"/>
      <c r="U20" s="58"/>
      <c r="V20" s="58"/>
      <c r="W20" s="58"/>
      <c r="X20" s="58"/>
      <c r="Y20" s="58"/>
      <c r="Z20" s="58"/>
      <c r="AA20" s="58"/>
      <c r="AB20" s="58"/>
    </row>
    <row r="21" spans="1:28" ht="14.25">
      <c r="A21" s="58"/>
      <c r="B21" s="6" t="s">
        <v>113</v>
      </c>
      <c r="C21" s="182" t="s">
        <v>57</v>
      </c>
      <c r="D21" s="193" t="s">
        <v>230</v>
      </c>
      <c r="E21" s="183" t="s">
        <v>205</v>
      </c>
      <c r="F21" s="58"/>
      <c r="G21" s="58"/>
      <c r="H21" s="58"/>
      <c r="I21" s="58"/>
      <c r="J21" s="58"/>
      <c r="K21" s="58"/>
      <c r="L21" s="58"/>
      <c r="M21" s="58"/>
      <c r="N21" s="58"/>
      <c r="O21" s="58"/>
      <c r="P21" s="58"/>
      <c r="Q21" s="58"/>
      <c r="R21" s="58"/>
      <c r="S21" s="58"/>
      <c r="T21" s="58"/>
      <c r="U21" s="58"/>
      <c r="V21" s="58"/>
      <c r="W21" s="58"/>
      <c r="X21" s="58"/>
      <c r="Y21" s="58"/>
      <c r="Z21" s="58"/>
      <c r="AA21" s="58"/>
      <c r="AB21" s="58"/>
    </row>
    <row r="22" spans="1:28" ht="12.75">
      <c r="A22" s="58"/>
      <c r="B22" s="3" t="s">
        <v>56</v>
      </c>
      <c r="C22" s="274">
        <f>Residential!D10+Commercial!D10+Industrial!D10</f>
        <v>0</v>
      </c>
      <c r="D22" s="372" t="e">
        <f>C22*(HLOOKUP(B22,'Energy Conv Factors'!$A$6:$M$17,'General Info'!$E$8,FALSE))/1000</f>
        <v>#VALUE!</v>
      </c>
      <c r="E22" s="191" t="e">
        <f>Residential!F10+Commercial!F10+Industrial!F10</f>
        <v>#N/A</v>
      </c>
      <c r="F22" s="58"/>
      <c r="G22" s="58"/>
      <c r="H22" s="58"/>
      <c r="I22" s="58"/>
      <c r="J22" s="58"/>
      <c r="K22" s="58"/>
      <c r="L22" s="58"/>
      <c r="M22" s="58"/>
      <c r="N22" s="58"/>
      <c r="O22" s="58"/>
      <c r="P22" s="58"/>
      <c r="Q22" s="58"/>
      <c r="R22" s="58"/>
      <c r="S22" s="58"/>
      <c r="T22" s="58"/>
      <c r="U22" s="58"/>
      <c r="V22" s="58"/>
      <c r="W22" s="58"/>
      <c r="X22" s="58"/>
      <c r="Y22" s="58"/>
      <c r="Z22" s="58"/>
      <c r="AA22" s="58"/>
      <c r="AB22" s="58"/>
    </row>
    <row r="23" spans="1:28" ht="12.75">
      <c r="A23" s="58"/>
      <c r="B23" s="3" t="s">
        <v>49</v>
      </c>
      <c r="C23" s="274">
        <f>Residential!D11+Commercial!D11+Industrial!D11</f>
        <v>0</v>
      </c>
      <c r="D23" s="372" t="e">
        <f>C23*(HLOOKUP(B23,'Energy Conv Factors'!$A$6:$M$17,'General Info'!$E$8,FALSE))/1000</f>
        <v>#VALUE!</v>
      </c>
      <c r="E23" s="191" t="e">
        <f>Residential!F11+Commercial!F11+Industrial!F11</f>
        <v>#N/A</v>
      </c>
      <c r="F23" s="58"/>
      <c r="G23" s="58"/>
      <c r="H23" s="58"/>
      <c r="I23" s="58"/>
      <c r="J23" s="58"/>
      <c r="K23" s="58"/>
      <c r="L23" s="58"/>
      <c r="M23" s="58"/>
      <c r="N23" s="58"/>
      <c r="O23" s="58"/>
      <c r="P23" s="58"/>
      <c r="Q23" s="58"/>
      <c r="R23" s="58"/>
      <c r="S23" s="58"/>
      <c r="T23" s="58"/>
      <c r="U23" s="58"/>
      <c r="V23" s="58"/>
      <c r="W23" s="58"/>
      <c r="X23" s="58"/>
      <c r="Y23" s="58"/>
      <c r="Z23" s="58"/>
      <c r="AA23" s="58"/>
      <c r="AB23" s="58"/>
    </row>
    <row r="24" spans="1:28" ht="12.75">
      <c r="A24" s="58"/>
      <c r="B24" s="3" t="s">
        <v>35</v>
      </c>
      <c r="C24" s="274">
        <f>Residential!D12+Commercial!D12+Industrial!D12</f>
        <v>0</v>
      </c>
      <c r="D24" s="373">
        <f>C24</f>
        <v>0</v>
      </c>
      <c r="E24" s="191">
        <f>Residential!F12+Commercial!F12+Industrial!F12</f>
        <v>0</v>
      </c>
      <c r="F24" s="58"/>
      <c r="G24" s="58"/>
      <c r="H24" s="58"/>
      <c r="I24" s="58"/>
      <c r="J24" s="58"/>
      <c r="K24" s="58"/>
      <c r="L24" s="58"/>
      <c r="M24" s="58"/>
      <c r="N24" s="58"/>
      <c r="O24" s="58"/>
      <c r="P24" s="58"/>
      <c r="Q24" s="58"/>
      <c r="R24" s="58"/>
      <c r="S24" s="58"/>
      <c r="T24" s="58"/>
      <c r="U24" s="58"/>
      <c r="V24" s="58"/>
      <c r="W24" s="58"/>
      <c r="X24" s="58"/>
      <c r="Y24" s="58"/>
      <c r="Z24" s="58"/>
      <c r="AA24" s="58"/>
      <c r="AB24" s="58"/>
    </row>
    <row r="25" spans="1:28" ht="12.75">
      <c r="A25" s="58"/>
      <c r="B25" s="3" t="s">
        <v>39</v>
      </c>
      <c r="C25" s="274">
        <f>Residential!D13+Commercial!D13+Industrial!D13</f>
        <v>0</v>
      </c>
      <c r="D25" s="372" t="e">
        <f>C25*(HLOOKUP(B25,'Energy Conv Factors'!$A$6:$M$17,'General Info'!$E$8,FALSE))/1000</f>
        <v>#VALUE!</v>
      </c>
      <c r="E25" s="191">
        <f>Residential!F13+Commercial!F13+Industrial!F13</f>
        <v>0</v>
      </c>
      <c r="F25" s="58"/>
      <c r="G25" s="58"/>
      <c r="H25" s="58"/>
      <c r="I25" s="58"/>
      <c r="J25" s="58"/>
      <c r="K25" s="58"/>
      <c r="L25" s="58"/>
      <c r="M25" s="58"/>
      <c r="N25" s="58"/>
      <c r="O25" s="58"/>
      <c r="P25" s="58"/>
      <c r="Q25" s="58"/>
      <c r="R25" s="58"/>
      <c r="S25" s="58"/>
      <c r="T25" s="58"/>
      <c r="U25" s="58"/>
      <c r="V25" s="58"/>
      <c r="W25" s="58"/>
      <c r="X25" s="58"/>
      <c r="Y25" s="58"/>
      <c r="Z25" s="58"/>
      <c r="AA25" s="58"/>
      <c r="AB25" s="58"/>
    </row>
    <row r="26" spans="1:28" ht="12.75">
      <c r="A26" s="58"/>
      <c r="B26" s="3" t="s">
        <v>34</v>
      </c>
      <c r="C26" s="274">
        <f>Residential!D14+Commercial!D14+Industrial!D14+TrDiesel</f>
        <v>0</v>
      </c>
      <c r="D26" s="379" t="e">
        <f>C26*(HLOOKUP(B26,'Energy Conv Factors'!$A$6:$M$17,'General Info'!$E$8,FALSE))/1000</f>
        <v>#VALUE!</v>
      </c>
      <c r="E26" s="378">
        <f>Residential!F14+Commercial!F14+Industrial!F14+Transportation!K3</f>
        <v>0</v>
      </c>
      <c r="F26" s="58"/>
      <c r="G26" s="58"/>
      <c r="H26" s="58"/>
      <c r="I26" s="58"/>
      <c r="J26" s="58"/>
      <c r="K26" s="58"/>
      <c r="L26" s="58"/>
      <c r="M26" s="58"/>
      <c r="N26" s="58"/>
      <c r="O26" s="58"/>
      <c r="P26" s="58"/>
      <c r="Q26" s="58"/>
      <c r="R26" s="58"/>
      <c r="S26" s="58"/>
      <c r="T26" s="58"/>
      <c r="U26" s="58"/>
      <c r="V26" s="58"/>
      <c r="W26" s="58"/>
      <c r="X26" s="58"/>
      <c r="Y26" s="58"/>
      <c r="Z26" s="58"/>
      <c r="AA26" s="58"/>
      <c r="AB26" s="58"/>
    </row>
    <row r="27" spans="1:28" ht="12.75">
      <c r="A27" s="58"/>
      <c r="B27" s="3" t="s">
        <v>40</v>
      </c>
      <c r="C27" s="274">
        <f>TrGas</f>
        <v>0</v>
      </c>
      <c r="D27" s="379" t="e">
        <f>C27*(HLOOKUP(B27,'Energy Conv Factors'!$A$6:$M$17,'General Info'!$E$8,FALSE))/1000</f>
        <v>#VALUE!</v>
      </c>
      <c r="E27" s="378">
        <f>C27*(gasco2)</f>
        <v>0</v>
      </c>
      <c r="F27" s="58"/>
      <c r="G27" s="58"/>
      <c r="H27" s="58"/>
      <c r="I27" s="58"/>
      <c r="J27" s="58"/>
      <c r="K27" s="58"/>
      <c r="L27" s="58"/>
      <c r="M27" s="58"/>
      <c r="N27" s="58"/>
      <c r="O27" s="58"/>
      <c r="P27" s="58"/>
      <c r="Q27" s="58"/>
      <c r="R27" s="58"/>
      <c r="S27" s="58"/>
      <c r="T27" s="58"/>
      <c r="U27" s="58"/>
      <c r="V27" s="58"/>
      <c r="W27" s="58"/>
      <c r="X27" s="58"/>
      <c r="Y27" s="58"/>
      <c r="Z27" s="58"/>
      <c r="AA27" s="58"/>
      <c r="AB27" s="58"/>
    </row>
    <row r="28" spans="1:28" ht="12.75">
      <c r="A28" s="58"/>
      <c r="B28" s="3" t="s">
        <v>51</v>
      </c>
      <c r="C28" s="274">
        <f>Residential!D15+Commercial!D15+Industrial!D15+TrPropane</f>
        <v>0</v>
      </c>
      <c r="D28" s="379" t="e">
        <f>C28*(HLOOKUP(B28,'Energy Conv Factors'!$A$6:$M$17,'General Info'!$E$8,FALSE))/1000</f>
        <v>#VALUE!</v>
      </c>
      <c r="E28" s="378">
        <f>C28*(propaneco2)</f>
        <v>0</v>
      </c>
      <c r="F28" s="58"/>
      <c r="G28" s="58"/>
      <c r="H28" s="58"/>
      <c r="I28" s="58"/>
      <c r="J28" s="58"/>
      <c r="K28" s="58"/>
      <c r="L28" s="58"/>
      <c r="M28" s="58"/>
      <c r="N28" s="58"/>
      <c r="O28" s="58"/>
      <c r="P28" s="58"/>
      <c r="Q28" s="58"/>
      <c r="R28" s="58"/>
      <c r="S28" s="58"/>
      <c r="T28" s="58"/>
      <c r="U28" s="58"/>
      <c r="V28" s="58"/>
      <c r="W28" s="58"/>
      <c r="X28" s="58"/>
      <c r="Y28" s="58"/>
      <c r="Z28" s="58"/>
      <c r="AA28" s="58"/>
      <c r="AB28" s="58"/>
    </row>
    <row r="29" spans="1:28" ht="12.75">
      <c r="A29" s="58"/>
      <c r="B29" s="147" t="s">
        <v>26</v>
      </c>
      <c r="C29" s="275">
        <f>TrCNG</f>
        <v>0</v>
      </c>
      <c r="D29" s="379" t="e">
        <f>C29*(HLOOKUP(B29,'Energy Conv Factors'!$A$6:$M$17,'General Info'!$E$8,FALSE))/1000</f>
        <v>#VALUE!</v>
      </c>
      <c r="E29" s="378">
        <f>C29*(cngco2)</f>
        <v>0</v>
      </c>
      <c r="F29" s="58"/>
      <c r="G29" s="58"/>
      <c r="H29" s="58"/>
      <c r="I29" s="58"/>
      <c r="J29" s="58"/>
      <c r="K29" s="58"/>
      <c r="L29" s="58"/>
      <c r="M29" s="58"/>
      <c r="N29" s="58"/>
      <c r="O29" s="58"/>
      <c r="P29" s="58"/>
      <c r="Q29" s="58"/>
      <c r="R29" s="58"/>
      <c r="S29" s="58"/>
      <c r="T29" s="58"/>
      <c r="U29" s="58"/>
      <c r="V29" s="58"/>
      <c r="W29" s="58"/>
      <c r="X29" s="58"/>
      <c r="Y29" s="58"/>
      <c r="Z29" s="58"/>
      <c r="AA29" s="58"/>
      <c r="AB29" s="58"/>
    </row>
    <row r="30" spans="1:28" ht="12.75">
      <c r="A30" s="58"/>
      <c r="B30" s="147" t="s">
        <v>218</v>
      </c>
      <c r="C30" s="275">
        <f>TrEthanol</f>
        <v>0</v>
      </c>
      <c r="D30" s="379" t="e">
        <f>C30*(HLOOKUP(B30,'Energy Conv Factors'!$A$6:$M$17,'General Info'!$E$8,FALSE))/1000</f>
        <v>#VALUE!</v>
      </c>
      <c r="E30" s="378">
        <f>C30*(ethanolco2)</f>
        <v>0</v>
      </c>
      <c r="F30" s="58"/>
      <c r="G30" s="58"/>
      <c r="H30" s="58"/>
      <c r="I30" s="58"/>
      <c r="J30" s="58"/>
      <c r="K30" s="58"/>
      <c r="L30" s="58"/>
      <c r="M30" s="58"/>
      <c r="N30" s="58"/>
      <c r="O30" s="58"/>
      <c r="P30" s="58"/>
      <c r="Q30" s="58"/>
      <c r="R30" s="58"/>
      <c r="S30" s="58"/>
      <c r="T30" s="58"/>
      <c r="U30" s="58"/>
      <c r="V30" s="58"/>
      <c r="W30" s="58"/>
      <c r="X30" s="58"/>
      <c r="Y30" s="58"/>
      <c r="Z30" s="58"/>
      <c r="AA30" s="58"/>
      <c r="AB30" s="58"/>
    </row>
    <row r="31" spans="1:28" ht="12.75">
      <c r="A31" s="58"/>
      <c r="B31" s="147" t="s">
        <v>215</v>
      </c>
      <c r="C31" s="275">
        <f>TrB5</f>
        <v>0</v>
      </c>
      <c r="D31" s="379" t="e">
        <f>C31*(HLOOKUP(B31,'Energy Conv Factors'!$A$6:$M$17,'General Info'!$E$8,FALSE))/1000</f>
        <v>#VALUE!</v>
      </c>
      <c r="E31" s="378">
        <f>C31*(biodiesel5)</f>
        <v>0</v>
      </c>
      <c r="F31" s="58"/>
      <c r="G31" s="58"/>
      <c r="H31" s="58"/>
      <c r="I31" s="58"/>
      <c r="J31" s="58"/>
      <c r="K31" s="58"/>
      <c r="L31" s="58"/>
      <c r="M31" s="58"/>
      <c r="N31" s="58"/>
      <c r="O31" s="58"/>
      <c r="P31" s="58"/>
      <c r="Q31" s="58"/>
      <c r="R31" s="58"/>
      <c r="S31" s="58"/>
      <c r="T31" s="58"/>
      <c r="U31" s="58"/>
      <c r="V31" s="58"/>
      <c r="W31" s="58"/>
      <c r="X31" s="58"/>
      <c r="Y31" s="58"/>
      <c r="Z31" s="58"/>
      <c r="AA31" s="58"/>
      <c r="AB31" s="58"/>
    </row>
    <row r="32" spans="1:28" ht="12.75">
      <c r="A32" s="58"/>
      <c r="B32" s="147" t="s">
        <v>216</v>
      </c>
      <c r="C32" s="275">
        <f>TrB10</f>
        <v>0</v>
      </c>
      <c r="D32" s="379" t="e">
        <f>C32*(HLOOKUP(B32,'Energy Conv Factors'!$A$6:$M$17,'General Info'!$E$8,FALSE))/1000</f>
        <v>#VALUE!</v>
      </c>
      <c r="E32" s="378">
        <f>C32*(biodiesel10)</f>
        <v>0</v>
      </c>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2.75">
      <c r="A33" s="58"/>
      <c r="B33" s="147" t="s">
        <v>217</v>
      </c>
      <c r="C33" s="275">
        <f>TrB20</f>
        <v>0</v>
      </c>
      <c r="D33" s="379" t="e">
        <f>C33*(HLOOKUP(B33,'Energy Conv Factors'!$A$6:$M$17,'General Info'!$E$8,FALSE))/1000</f>
        <v>#VALUE!</v>
      </c>
      <c r="E33" s="378">
        <f>C33*(biodiesel20)</f>
        <v>0</v>
      </c>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2.75">
      <c r="A34" s="58"/>
      <c r="B34" s="29" t="s">
        <v>66</v>
      </c>
      <c r="C34" s="199" t="s">
        <v>112</v>
      </c>
      <c r="D34" s="246" t="s">
        <v>112</v>
      </c>
      <c r="E34" s="192">
        <f>'Com. Waste'!D10</f>
        <v>0</v>
      </c>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6.5" thickBot="1">
      <c r="A35" s="58"/>
      <c r="B35" s="212" t="s">
        <v>114</v>
      </c>
      <c r="C35" s="371">
        <f>SUM(C22:C34)</f>
        <v>0</v>
      </c>
      <c r="D35" s="376" t="e">
        <f>SUM(D22:D34)</f>
        <v>#VALUE!</v>
      </c>
      <c r="E35" s="375" t="e">
        <f>SUM(E22:E34)</f>
        <v>#N/A</v>
      </c>
      <c r="F35" s="58"/>
      <c r="G35" s="58"/>
      <c r="H35" s="58"/>
      <c r="I35" s="58"/>
      <c r="J35" s="58"/>
      <c r="K35" s="58"/>
      <c r="L35" s="58"/>
      <c r="M35" s="58"/>
      <c r="N35" s="58"/>
      <c r="O35" s="58"/>
      <c r="P35" s="58"/>
      <c r="Q35" s="58"/>
      <c r="R35" s="58"/>
      <c r="S35" s="58"/>
      <c r="T35" s="58"/>
      <c r="U35" s="58"/>
      <c r="V35" s="58"/>
      <c r="W35" s="58"/>
      <c r="X35" s="58"/>
      <c r="Y35" s="58"/>
      <c r="Z35" s="58"/>
      <c r="AA35" s="58"/>
      <c r="AB35" s="58"/>
    </row>
    <row r="36" spans="1:28" ht="12.75">
      <c r="A36" s="58"/>
      <c r="B36" s="62"/>
      <c r="C36" s="62"/>
      <c r="D36" s="83"/>
      <c r="E36" s="83"/>
      <c r="F36" s="62"/>
      <c r="G36" s="62"/>
      <c r="H36" s="62"/>
      <c r="I36" s="58"/>
      <c r="J36" s="58"/>
      <c r="K36" s="58"/>
      <c r="L36" s="58"/>
      <c r="M36" s="58"/>
      <c r="N36" s="58"/>
      <c r="O36" s="58"/>
      <c r="P36" s="58"/>
      <c r="Q36" s="58"/>
      <c r="R36" s="58"/>
      <c r="S36" s="58"/>
      <c r="T36" s="58"/>
      <c r="U36" s="58"/>
      <c r="V36" s="58"/>
      <c r="W36" s="58"/>
      <c r="X36" s="58"/>
      <c r="Y36" s="58"/>
      <c r="Z36" s="58"/>
      <c r="AA36" s="58"/>
      <c r="AB36" s="58"/>
    </row>
    <row r="37" spans="1:28" ht="12.75">
      <c r="A37" s="58"/>
      <c r="B37" s="62"/>
      <c r="C37" s="62"/>
      <c r="D37" s="83"/>
      <c r="E37" s="83"/>
      <c r="F37" s="62"/>
      <c r="G37" s="62"/>
      <c r="H37" s="62"/>
      <c r="I37" s="58"/>
      <c r="J37" s="58"/>
      <c r="K37" s="58"/>
      <c r="L37" s="58"/>
      <c r="M37" s="58"/>
      <c r="N37" s="58"/>
      <c r="O37" s="58"/>
      <c r="P37" s="58"/>
      <c r="Q37" s="58"/>
      <c r="R37" s="58"/>
      <c r="S37" s="58"/>
      <c r="T37" s="58"/>
      <c r="U37" s="58"/>
      <c r="V37" s="58"/>
      <c r="W37" s="58"/>
      <c r="X37" s="58"/>
      <c r="Y37" s="58"/>
      <c r="Z37" s="58"/>
      <c r="AA37" s="58"/>
      <c r="AB37" s="58"/>
    </row>
    <row r="38" spans="1:28" ht="12.75">
      <c r="A38" s="58"/>
      <c r="B38" s="62"/>
      <c r="C38" s="62"/>
      <c r="D38" s="83"/>
      <c r="E38" s="83"/>
      <c r="F38" s="62"/>
      <c r="G38" s="62"/>
      <c r="H38" s="62"/>
      <c r="I38" s="58"/>
      <c r="J38" s="58"/>
      <c r="K38" s="58"/>
      <c r="L38" s="58"/>
      <c r="M38" s="58"/>
      <c r="N38" s="58"/>
      <c r="O38" s="58"/>
      <c r="P38" s="58"/>
      <c r="Q38" s="58"/>
      <c r="R38" s="58"/>
      <c r="S38" s="58"/>
      <c r="T38" s="58"/>
      <c r="U38" s="58"/>
      <c r="V38" s="58"/>
      <c r="W38" s="58"/>
      <c r="X38" s="58"/>
      <c r="Y38" s="58"/>
      <c r="Z38" s="58"/>
      <c r="AA38" s="58"/>
      <c r="AB38" s="58"/>
    </row>
    <row r="39" spans="1:28" ht="12.75">
      <c r="A39" s="58"/>
      <c r="B39" s="62"/>
      <c r="C39" s="62"/>
      <c r="D39" s="83"/>
      <c r="E39" s="83"/>
      <c r="F39" s="62"/>
      <c r="G39" s="62"/>
      <c r="H39" s="62"/>
      <c r="I39" s="58"/>
      <c r="J39" s="58"/>
      <c r="K39" s="58"/>
      <c r="L39" s="58"/>
      <c r="M39" s="58"/>
      <c r="N39" s="58"/>
      <c r="O39" s="58"/>
      <c r="P39" s="58"/>
      <c r="Q39" s="58"/>
      <c r="R39" s="58"/>
      <c r="S39" s="58"/>
      <c r="T39" s="58"/>
      <c r="U39" s="58"/>
      <c r="V39" s="58"/>
      <c r="W39" s="58"/>
      <c r="X39" s="58"/>
      <c r="Y39" s="58"/>
      <c r="Z39" s="58"/>
      <c r="AA39" s="58"/>
      <c r="AB39" s="58"/>
    </row>
    <row r="40" spans="1:28" ht="12.75">
      <c r="A40" s="58"/>
      <c r="B40" s="62"/>
      <c r="C40" s="62"/>
      <c r="D40" s="83"/>
      <c r="E40" s="83"/>
      <c r="F40" s="62"/>
      <c r="G40" s="62"/>
      <c r="H40" s="62"/>
      <c r="I40" s="58"/>
      <c r="J40" s="58"/>
      <c r="K40" s="58"/>
      <c r="L40" s="58"/>
      <c r="M40" s="58"/>
      <c r="N40" s="58"/>
      <c r="O40" s="58"/>
      <c r="P40" s="58"/>
      <c r="Q40" s="58"/>
      <c r="R40" s="58"/>
      <c r="S40" s="58"/>
      <c r="T40" s="58"/>
      <c r="U40" s="58"/>
      <c r="V40" s="58"/>
      <c r="W40" s="58"/>
      <c r="X40" s="58"/>
      <c r="Y40" s="58"/>
      <c r="Z40" s="58"/>
      <c r="AA40" s="58"/>
      <c r="AB40" s="58"/>
    </row>
    <row r="41" spans="1:28" ht="12.75">
      <c r="A41" s="58"/>
      <c r="B41" s="62"/>
      <c r="C41" s="62"/>
      <c r="D41" s="83"/>
      <c r="E41" s="83"/>
      <c r="F41" s="62"/>
      <c r="G41" s="62"/>
      <c r="H41" s="62"/>
      <c r="I41" s="58"/>
      <c r="J41" s="58"/>
      <c r="K41" s="58"/>
      <c r="L41" s="58"/>
      <c r="M41" s="58"/>
      <c r="N41" s="58"/>
      <c r="O41" s="58"/>
      <c r="P41" s="58"/>
      <c r="Q41" s="58"/>
      <c r="R41" s="58"/>
      <c r="S41" s="58"/>
      <c r="T41" s="58"/>
      <c r="U41" s="58"/>
      <c r="V41" s="58"/>
      <c r="W41" s="58"/>
      <c r="X41" s="58"/>
      <c r="Y41" s="58"/>
      <c r="Z41" s="58"/>
      <c r="AA41" s="58"/>
      <c r="AB41" s="58"/>
    </row>
    <row r="42" spans="1:28" ht="12.75">
      <c r="A42" s="58"/>
      <c r="B42" s="62"/>
      <c r="C42" s="62"/>
      <c r="D42" s="83"/>
      <c r="E42" s="83"/>
      <c r="F42" s="62"/>
      <c r="G42" s="62"/>
      <c r="H42" s="62"/>
      <c r="I42" s="58"/>
      <c r="J42" s="58"/>
      <c r="K42" s="58"/>
      <c r="L42" s="58"/>
      <c r="M42" s="58"/>
      <c r="N42" s="58"/>
      <c r="O42" s="58"/>
      <c r="P42" s="58"/>
      <c r="Q42" s="58"/>
      <c r="R42" s="58"/>
      <c r="S42" s="58"/>
      <c r="T42" s="58"/>
      <c r="U42" s="58"/>
      <c r="V42" s="58"/>
      <c r="W42" s="58"/>
      <c r="X42" s="58"/>
      <c r="Y42" s="58"/>
      <c r="Z42" s="58"/>
      <c r="AA42" s="58"/>
      <c r="AB42" s="58"/>
    </row>
    <row r="43" spans="1:28" ht="12.75">
      <c r="A43" s="58"/>
      <c r="B43" s="62"/>
      <c r="C43" s="62"/>
      <c r="D43" s="83"/>
      <c r="E43" s="83"/>
      <c r="F43" s="62"/>
      <c r="G43" s="62"/>
      <c r="H43" s="62"/>
      <c r="I43" s="58"/>
      <c r="J43" s="58"/>
      <c r="K43" s="58"/>
      <c r="L43" s="58"/>
      <c r="M43" s="58"/>
      <c r="N43" s="58"/>
      <c r="O43" s="58"/>
      <c r="P43" s="58"/>
      <c r="Q43" s="58"/>
      <c r="R43" s="58"/>
      <c r="S43" s="58"/>
      <c r="T43" s="58"/>
      <c r="U43" s="58"/>
      <c r="V43" s="58"/>
      <c r="W43" s="58"/>
      <c r="X43" s="58"/>
      <c r="Y43" s="58"/>
      <c r="Z43" s="58"/>
      <c r="AA43" s="58"/>
      <c r="AB43" s="58"/>
    </row>
    <row r="44" spans="1:28" ht="12.75">
      <c r="A44" s="58"/>
      <c r="B44" s="62"/>
      <c r="C44" s="62"/>
      <c r="D44" s="83"/>
      <c r="E44" s="83"/>
      <c r="F44" s="62"/>
      <c r="G44" s="62"/>
      <c r="H44" s="62"/>
      <c r="I44" s="58"/>
      <c r="J44" s="58"/>
      <c r="K44" s="58"/>
      <c r="L44" s="58"/>
      <c r="M44" s="58"/>
      <c r="N44" s="58"/>
      <c r="O44" s="58"/>
      <c r="P44" s="58"/>
      <c r="Q44" s="58"/>
      <c r="R44" s="58"/>
      <c r="S44" s="58"/>
      <c r="T44" s="58"/>
      <c r="U44" s="58"/>
      <c r="V44" s="58"/>
      <c r="W44" s="58"/>
      <c r="X44" s="58"/>
      <c r="Y44" s="58"/>
      <c r="Z44" s="58"/>
      <c r="AA44" s="58"/>
      <c r="AB44" s="58"/>
    </row>
    <row r="45" spans="1:28" ht="12.75">
      <c r="A45" s="58"/>
      <c r="B45" s="62"/>
      <c r="C45" s="62"/>
      <c r="D45" s="83"/>
      <c r="E45" s="83"/>
      <c r="F45" s="62"/>
      <c r="G45" s="62"/>
      <c r="H45" s="62"/>
      <c r="I45" s="58"/>
      <c r="J45" s="58"/>
      <c r="K45" s="58"/>
      <c r="L45" s="58"/>
      <c r="M45" s="58"/>
      <c r="N45" s="58"/>
      <c r="O45" s="58"/>
      <c r="P45" s="58"/>
      <c r="Q45" s="58"/>
      <c r="R45" s="58"/>
      <c r="S45" s="58"/>
      <c r="T45" s="58"/>
      <c r="U45" s="58"/>
      <c r="V45" s="58"/>
      <c r="W45" s="58"/>
      <c r="X45" s="58"/>
      <c r="Y45" s="58"/>
      <c r="Z45" s="58"/>
      <c r="AA45" s="58"/>
      <c r="AB45" s="58"/>
    </row>
    <row r="46" spans="1:28" ht="12.75">
      <c r="A46" s="58"/>
      <c r="B46" s="62"/>
      <c r="C46" s="62"/>
      <c r="D46" s="83"/>
      <c r="E46" s="83"/>
      <c r="F46" s="62"/>
      <c r="G46" s="62"/>
      <c r="H46" s="62"/>
      <c r="I46" s="58"/>
      <c r="J46" s="58"/>
      <c r="K46" s="58"/>
      <c r="L46" s="58"/>
      <c r="M46" s="58"/>
      <c r="N46" s="58"/>
      <c r="O46" s="58"/>
      <c r="P46" s="58"/>
      <c r="Q46" s="58"/>
      <c r="R46" s="58"/>
      <c r="S46" s="58"/>
      <c r="T46" s="58"/>
      <c r="U46" s="58"/>
      <c r="V46" s="58"/>
      <c r="W46" s="58"/>
      <c r="X46" s="58"/>
      <c r="Y46" s="58"/>
      <c r="Z46" s="58"/>
      <c r="AA46" s="58"/>
      <c r="AB46" s="58"/>
    </row>
    <row r="47" spans="1:28" ht="12.75">
      <c r="A47" s="58"/>
      <c r="B47" s="62"/>
      <c r="C47" s="62"/>
      <c r="D47" s="83"/>
      <c r="E47" s="83"/>
      <c r="F47" s="62"/>
      <c r="G47" s="62"/>
      <c r="H47" s="62"/>
      <c r="I47" s="58"/>
      <c r="J47" s="58"/>
      <c r="K47" s="58"/>
      <c r="L47" s="58"/>
      <c r="M47" s="58"/>
      <c r="N47" s="58"/>
      <c r="O47" s="58"/>
      <c r="P47" s="58"/>
      <c r="Q47" s="58"/>
      <c r="R47" s="58"/>
      <c r="S47" s="58"/>
      <c r="T47" s="58"/>
      <c r="U47" s="58"/>
      <c r="V47" s="58"/>
      <c r="W47" s="58"/>
      <c r="X47" s="58"/>
      <c r="Y47" s="58"/>
      <c r="Z47" s="58"/>
      <c r="AA47" s="58"/>
      <c r="AB47" s="58"/>
    </row>
    <row r="48" spans="1:28" ht="12.75">
      <c r="A48" s="58"/>
      <c r="B48" s="62"/>
      <c r="C48" s="62"/>
      <c r="D48" s="83"/>
      <c r="E48" s="83"/>
      <c r="F48" s="62"/>
      <c r="G48" s="62"/>
      <c r="H48" s="62"/>
      <c r="I48" s="58"/>
      <c r="J48" s="58"/>
      <c r="K48" s="58"/>
      <c r="L48" s="58"/>
      <c r="M48" s="58"/>
      <c r="N48" s="58"/>
      <c r="O48" s="58"/>
      <c r="P48" s="58"/>
      <c r="Q48" s="58"/>
      <c r="R48" s="58"/>
      <c r="S48" s="58"/>
      <c r="T48" s="58"/>
      <c r="U48" s="58"/>
      <c r="V48" s="58"/>
      <c r="W48" s="58"/>
      <c r="X48" s="58"/>
      <c r="Y48" s="58"/>
      <c r="Z48" s="58"/>
      <c r="AA48" s="58"/>
      <c r="AB48" s="58"/>
    </row>
    <row r="49" spans="1:28" ht="12.75">
      <c r="A49" s="58"/>
      <c r="B49" s="62"/>
      <c r="C49" s="62"/>
      <c r="D49" s="83"/>
      <c r="E49" s="83"/>
      <c r="F49" s="62"/>
      <c r="G49" s="62"/>
      <c r="H49" s="62"/>
      <c r="I49" s="58"/>
      <c r="J49" s="58"/>
      <c r="K49" s="58"/>
      <c r="L49" s="58"/>
      <c r="M49" s="58"/>
      <c r="N49" s="58"/>
      <c r="O49" s="58"/>
      <c r="P49" s="58"/>
      <c r="Q49" s="58"/>
      <c r="R49" s="58"/>
      <c r="S49" s="58"/>
      <c r="T49" s="58"/>
      <c r="U49" s="58"/>
      <c r="V49" s="58"/>
      <c r="W49" s="58"/>
      <c r="X49" s="58"/>
      <c r="Y49" s="58"/>
      <c r="Z49" s="58"/>
      <c r="AA49" s="58"/>
      <c r="AB49" s="58"/>
    </row>
    <row r="50" spans="1:28" ht="12.75">
      <c r="A50" s="58"/>
      <c r="B50" s="62"/>
      <c r="C50" s="62"/>
      <c r="D50" s="83"/>
      <c r="E50" s="83"/>
      <c r="F50" s="62"/>
      <c r="G50" s="62"/>
      <c r="H50" s="62"/>
      <c r="I50" s="58"/>
      <c r="J50" s="58"/>
      <c r="K50" s="58"/>
      <c r="L50" s="58"/>
      <c r="M50" s="58"/>
      <c r="N50" s="58"/>
      <c r="O50" s="58"/>
      <c r="P50" s="58"/>
      <c r="Q50" s="58"/>
      <c r="R50" s="58"/>
      <c r="S50" s="58"/>
      <c r="T50" s="58"/>
      <c r="U50" s="58"/>
      <c r="V50" s="58"/>
      <c r="W50" s="58"/>
      <c r="X50" s="58"/>
      <c r="Y50" s="58"/>
      <c r="Z50" s="58"/>
      <c r="AA50" s="58"/>
      <c r="AB50" s="58"/>
    </row>
    <row r="51" spans="1:28" ht="12.75">
      <c r="A51" s="58"/>
      <c r="B51" s="62"/>
      <c r="C51" s="62"/>
      <c r="D51" s="83"/>
      <c r="E51" s="83"/>
      <c r="F51" s="62"/>
      <c r="G51" s="62"/>
      <c r="H51" s="62"/>
      <c r="I51" s="58"/>
      <c r="J51" s="58"/>
      <c r="K51" s="58"/>
      <c r="L51" s="58"/>
      <c r="M51" s="58"/>
      <c r="N51" s="58"/>
      <c r="O51" s="58"/>
      <c r="P51" s="58"/>
      <c r="Q51" s="58"/>
      <c r="R51" s="58"/>
      <c r="S51" s="58"/>
      <c r="T51" s="58"/>
      <c r="U51" s="58"/>
      <c r="V51" s="58"/>
      <c r="W51" s="58"/>
      <c r="X51" s="58"/>
      <c r="Y51" s="58"/>
      <c r="Z51" s="58"/>
      <c r="AA51" s="58"/>
      <c r="AB51" s="58"/>
    </row>
    <row r="52" spans="1:28" ht="12.75">
      <c r="A52" s="58"/>
      <c r="B52" s="62"/>
      <c r="C52" s="62"/>
      <c r="D52" s="83"/>
      <c r="E52" s="83"/>
      <c r="F52" s="62"/>
      <c r="G52" s="62"/>
      <c r="H52" s="62"/>
      <c r="I52" s="58"/>
      <c r="J52" s="58"/>
      <c r="K52" s="58"/>
      <c r="L52" s="58"/>
      <c r="M52" s="58"/>
      <c r="N52" s="58"/>
      <c r="O52" s="58"/>
      <c r="P52" s="58"/>
      <c r="Q52" s="58"/>
      <c r="R52" s="58"/>
      <c r="S52" s="58"/>
      <c r="T52" s="58"/>
      <c r="U52" s="58"/>
      <c r="V52" s="58"/>
      <c r="W52" s="58"/>
      <c r="X52" s="58"/>
      <c r="Y52" s="58"/>
      <c r="Z52" s="58"/>
      <c r="AA52" s="58"/>
      <c r="AB52" s="58"/>
    </row>
    <row r="53" spans="1:28" ht="12.75">
      <c r="A53" s="58"/>
      <c r="B53" s="62"/>
      <c r="C53" s="62"/>
      <c r="D53" s="83"/>
      <c r="E53" s="83"/>
      <c r="F53" s="62"/>
      <c r="G53" s="62"/>
      <c r="H53" s="62"/>
      <c r="I53" s="58"/>
      <c r="J53" s="58"/>
      <c r="K53" s="58"/>
      <c r="L53" s="58"/>
      <c r="M53" s="58"/>
      <c r="N53" s="58"/>
      <c r="O53" s="58"/>
      <c r="P53" s="58"/>
      <c r="Q53" s="58"/>
      <c r="R53" s="58"/>
      <c r="S53" s="58"/>
      <c r="T53" s="58"/>
      <c r="U53" s="58"/>
      <c r="V53" s="58"/>
      <c r="W53" s="58"/>
      <c r="X53" s="58"/>
      <c r="Y53" s="58"/>
      <c r="Z53" s="58"/>
      <c r="AA53" s="58"/>
      <c r="AB53" s="58"/>
    </row>
    <row r="54" spans="1:28" ht="12.75">
      <c r="A54" s="58"/>
      <c r="B54" s="62"/>
      <c r="C54" s="62"/>
      <c r="D54" s="83"/>
      <c r="E54" s="83"/>
      <c r="F54" s="62"/>
      <c r="G54" s="62"/>
      <c r="H54" s="62"/>
      <c r="I54" s="58"/>
      <c r="J54" s="58"/>
      <c r="K54" s="58"/>
      <c r="L54" s="58"/>
      <c r="M54" s="58"/>
      <c r="N54" s="58"/>
      <c r="O54" s="58"/>
      <c r="P54" s="58"/>
      <c r="Q54" s="58"/>
      <c r="R54" s="58"/>
      <c r="S54" s="58"/>
      <c r="T54" s="58"/>
      <c r="U54" s="58"/>
      <c r="V54" s="58"/>
      <c r="W54" s="58"/>
      <c r="X54" s="58"/>
      <c r="Y54" s="58"/>
      <c r="Z54" s="58"/>
      <c r="AA54" s="58"/>
      <c r="AB54" s="58"/>
    </row>
    <row r="55" spans="1:28" ht="12.75">
      <c r="A55" s="58"/>
      <c r="B55" s="62"/>
      <c r="C55" s="62"/>
      <c r="D55" s="83"/>
      <c r="E55" s="83"/>
      <c r="F55" s="62"/>
      <c r="G55" s="62"/>
      <c r="H55" s="62"/>
      <c r="I55" s="58"/>
      <c r="J55" s="58"/>
      <c r="K55" s="58"/>
      <c r="L55" s="58"/>
      <c r="M55" s="58"/>
      <c r="N55" s="58"/>
      <c r="O55" s="58"/>
      <c r="P55" s="58"/>
      <c r="Q55" s="58"/>
      <c r="R55" s="58"/>
      <c r="S55" s="58"/>
      <c r="T55" s="58"/>
      <c r="U55" s="58"/>
      <c r="V55" s="58"/>
      <c r="W55" s="58"/>
      <c r="X55" s="58"/>
      <c r="Y55" s="58"/>
      <c r="Z55" s="58"/>
      <c r="AA55" s="58"/>
      <c r="AB55" s="58"/>
    </row>
    <row r="56" spans="1:28" ht="12.75">
      <c r="A56" s="58"/>
      <c r="B56" s="62"/>
      <c r="C56" s="62"/>
      <c r="D56" s="83"/>
      <c r="E56" s="83"/>
      <c r="F56" s="62"/>
      <c r="G56" s="62"/>
      <c r="H56" s="62"/>
      <c r="I56" s="58"/>
      <c r="J56" s="58"/>
      <c r="K56" s="58"/>
      <c r="L56" s="58"/>
      <c r="M56" s="58"/>
      <c r="N56" s="58"/>
      <c r="O56" s="58"/>
      <c r="P56" s="58"/>
      <c r="Q56" s="58"/>
      <c r="R56" s="58"/>
      <c r="S56" s="58"/>
      <c r="T56" s="58"/>
      <c r="U56" s="58"/>
      <c r="V56" s="58"/>
      <c r="W56" s="58"/>
      <c r="X56" s="58"/>
      <c r="Y56" s="58"/>
      <c r="Z56" s="58"/>
      <c r="AA56" s="58"/>
      <c r="AB56" s="58"/>
    </row>
    <row r="57" spans="1:28" ht="12.75">
      <c r="A57" s="58"/>
      <c r="B57" s="62"/>
      <c r="C57" s="62"/>
      <c r="D57" s="83"/>
      <c r="E57" s="83"/>
      <c r="F57" s="62"/>
      <c r="G57" s="62"/>
      <c r="H57" s="62"/>
      <c r="I57" s="58"/>
      <c r="J57" s="58"/>
      <c r="K57" s="58"/>
      <c r="L57" s="58"/>
      <c r="M57" s="58"/>
      <c r="N57" s="58"/>
      <c r="O57" s="58"/>
      <c r="P57" s="58"/>
      <c r="Q57" s="58"/>
      <c r="R57" s="58"/>
      <c r="S57" s="58"/>
      <c r="T57" s="58"/>
      <c r="U57" s="58"/>
      <c r="V57" s="58"/>
      <c r="W57" s="58"/>
      <c r="X57" s="58"/>
      <c r="Y57" s="58"/>
      <c r="Z57" s="58"/>
      <c r="AA57" s="58"/>
      <c r="AB57" s="58"/>
    </row>
    <row r="58" spans="1:28" ht="12.75">
      <c r="A58" s="58"/>
      <c r="B58" s="62"/>
      <c r="C58" s="62"/>
      <c r="D58" s="83"/>
      <c r="E58" s="83"/>
      <c r="F58" s="62"/>
      <c r="G58" s="62"/>
      <c r="H58" s="62"/>
      <c r="I58" s="58"/>
      <c r="J58" s="58"/>
      <c r="K58" s="58"/>
      <c r="L58" s="58"/>
      <c r="M58" s="58"/>
      <c r="N58" s="58"/>
      <c r="O58" s="58"/>
      <c r="P58" s="58"/>
      <c r="Q58" s="58"/>
      <c r="R58" s="58"/>
      <c r="S58" s="58"/>
      <c r="T58" s="58"/>
      <c r="U58" s="58"/>
      <c r="V58" s="58"/>
      <c r="W58" s="58"/>
      <c r="X58" s="58"/>
      <c r="Y58" s="58"/>
      <c r="Z58" s="58"/>
      <c r="AA58" s="58"/>
      <c r="AB58" s="58"/>
    </row>
    <row r="59" spans="1:28" ht="12.75">
      <c r="A59" s="58"/>
      <c r="B59" s="62"/>
      <c r="C59" s="62"/>
      <c r="D59" s="83"/>
      <c r="E59" s="83"/>
      <c r="F59" s="62"/>
      <c r="G59" s="62"/>
      <c r="H59" s="62"/>
      <c r="I59" s="58"/>
      <c r="J59" s="58"/>
      <c r="K59" s="58"/>
      <c r="L59" s="58"/>
      <c r="M59" s="58"/>
      <c r="N59" s="58"/>
      <c r="O59" s="58"/>
      <c r="P59" s="58"/>
      <c r="Q59" s="58"/>
      <c r="R59" s="58"/>
      <c r="S59" s="58"/>
      <c r="T59" s="58"/>
      <c r="U59" s="58"/>
      <c r="V59" s="58"/>
      <c r="W59" s="58"/>
      <c r="X59" s="58"/>
      <c r="Y59" s="58"/>
      <c r="Z59" s="58"/>
      <c r="AA59" s="58"/>
      <c r="AB59" s="58"/>
    </row>
    <row r="60" spans="1:28" ht="12.75">
      <c r="A60" s="58"/>
      <c r="B60" s="62"/>
      <c r="C60" s="62"/>
      <c r="D60" s="83"/>
      <c r="E60" s="83"/>
      <c r="F60" s="62"/>
      <c r="G60" s="62"/>
      <c r="H60" s="62"/>
      <c r="I60" s="58"/>
      <c r="J60" s="58"/>
      <c r="K60" s="58"/>
      <c r="L60" s="58"/>
      <c r="M60" s="58"/>
      <c r="N60" s="58"/>
      <c r="O60" s="58"/>
      <c r="P60" s="58"/>
      <c r="Q60" s="58"/>
      <c r="R60" s="58"/>
      <c r="S60" s="58"/>
      <c r="T60" s="58"/>
      <c r="U60" s="58"/>
      <c r="V60" s="58"/>
      <c r="W60" s="58"/>
      <c r="X60" s="58"/>
      <c r="Y60" s="58"/>
      <c r="Z60" s="58"/>
      <c r="AA60" s="58"/>
      <c r="AB60" s="58"/>
    </row>
    <row r="61" spans="1:28" ht="12.75">
      <c r="A61" s="58"/>
      <c r="B61" s="62"/>
      <c r="C61" s="62"/>
      <c r="D61" s="83"/>
      <c r="E61" s="83"/>
      <c r="F61" s="62"/>
      <c r="G61" s="62"/>
      <c r="H61" s="62"/>
      <c r="I61" s="58"/>
      <c r="J61" s="58"/>
      <c r="K61" s="58"/>
      <c r="L61" s="58"/>
      <c r="M61" s="58"/>
      <c r="N61" s="58"/>
      <c r="O61" s="58"/>
      <c r="P61" s="58"/>
      <c r="Q61" s="58"/>
      <c r="R61" s="58"/>
      <c r="S61" s="58"/>
      <c r="T61" s="58"/>
      <c r="U61" s="58"/>
      <c r="V61" s="58"/>
      <c r="W61" s="58"/>
      <c r="X61" s="58"/>
      <c r="Y61" s="58"/>
      <c r="Z61" s="58"/>
      <c r="AA61" s="58"/>
      <c r="AB61" s="58"/>
    </row>
    <row r="62" spans="1:28" ht="12.75">
      <c r="A62" s="58"/>
      <c r="B62" s="62"/>
      <c r="C62" s="62"/>
      <c r="D62" s="83"/>
      <c r="E62" s="83"/>
      <c r="F62" s="62"/>
      <c r="G62" s="62"/>
      <c r="H62" s="62"/>
      <c r="I62" s="58"/>
      <c r="J62" s="58"/>
      <c r="K62" s="58"/>
      <c r="L62" s="58"/>
      <c r="M62" s="58"/>
      <c r="N62" s="58"/>
      <c r="O62" s="58"/>
      <c r="P62" s="58"/>
      <c r="Q62" s="58"/>
      <c r="R62" s="58"/>
      <c r="S62" s="58"/>
      <c r="T62" s="58"/>
      <c r="U62" s="58"/>
      <c r="V62" s="58"/>
      <c r="W62" s="58"/>
      <c r="X62" s="58"/>
      <c r="Y62" s="58"/>
      <c r="Z62" s="58"/>
      <c r="AA62" s="58"/>
      <c r="AB62" s="58"/>
    </row>
    <row r="63" spans="1:28" ht="12.75">
      <c r="A63" s="58"/>
      <c r="B63" s="62"/>
      <c r="C63" s="62"/>
      <c r="D63" s="83"/>
      <c r="E63" s="83"/>
      <c r="F63" s="62"/>
      <c r="G63" s="62"/>
      <c r="H63" s="62"/>
      <c r="I63" s="58"/>
      <c r="J63" s="58"/>
      <c r="K63" s="58"/>
      <c r="L63" s="58"/>
      <c r="M63" s="58"/>
      <c r="N63" s="58"/>
      <c r="O63" s="58"/>
      <c r="P63" s="58"/>
      <c r="Q63" s="58"/>
      <c r="R63" s="58"/>
      <c r="S63" s="58"/>
      <c r="T63" s="58"/>
      <c r="U63" s="58"/>
      <c r="V63" s="58"/>
      <c r="W63" s="58"/>
      <c r="X63" s="58"/>
      <c r="Y63" s="58"/>
      <c r="Z63" s="58"/>
      <c r="AA63" s="58"/>
      <c r="AB63" s="58"/>
    </row>
    <row r="64" spans="1:28" ht="12.75">
      <c r="A64" s="58"/>
      <c r="B64" s="62"/>
      <c r="C64" s="62"/>
      <c r="D64" s="83"/>
      <c r="E64" s="83"/>
      <c r="F64" s="62"/>
      <c r="G64" s="62"/>
      <c r="H64" s="62"/>
      <c r="I64" s="58"/>
      <c r="J64" s="58"/>
      <c r="K64" s="58"/>
      <c r="L64" s="58"/>
      <c r="M64" s="58"/>
      <c r="N64" s="58"/>
      <c r="O64" s="58"/>
      <c r="P64" s="58"/>
      <c r="Q64" s="58"/>
      <c r="R64" s="58"/>
      <c r="S64" s="58"/>
      <c r="T64" s="58"/>
      <c r="U64" s="58"/>
      <c r="V64" s="58"/>
      <c r="W64" s="58"/>
      <c r="X64" s="58"/>
      <c r="Y64" s="58"/>
      <c r="Z64" s="58"/>
      <c r="AA64" s="58"/>
      <c r="AB64" s="58"/>
    </row>
    <row r="65" spans="1:28" ht="12.75">
      <c r="A65" s="58"/>
      <c r="B65" s="62"/>
      <c r="C65" s="62"/>
      <c r="D65" s="83"/>
      <c r="E65" s="83"/>
      <c r="F65" s="62"/>
      <c r="G65" s="62"/>
      <c r="H65" s="62"/>
      <c r="I65" s="58"/>
      <c r="J65" s="58"/>
      <c r="K65" s="58"/>
      <c r="L65" s="58"/>
      <c r="M65" s="58"/>
      <c r="N65" s="58"/>
      <c r="O65" s="58"/>
      <c r="P65" s="58"/>
      <c r="Q65" s="58"/>
      <c r="R65" s="58"/>
      <c r="S65" s="58"/>
      <c r="T65" s="58"/>
      <c r="U65" s="58"/>
      <c r="V65" s="58"/>
      <c r="W65" s="58"/>
      <c r="X65" s="58"/>
      <c r="Y65" s="58"/>
      <c r="Z65" s="58"/>
      <c r="AA65" s="58"/>
      <c r="AB65" s="58"/>
    </row>
    <row r="66" spans="1:28" ht="12.75">
      <c r="A66" s="58"/>
      <c r="B66" s="62"/>
      <c r="C66" s="62"/>
      <c r="D66" s="83"/>
      <c r="E66" s="83"/>
      <c r="F66" s="62"/>
      <c r="G66" s="62"/>
      <c r="H66" s="62"/>
      <c r="I66" s="58"/>
      <c r="J66" s="58"/>
      <c r="K66" s="58"/>
      <c r="L66" s="58"/>
      <c r="M66" s="58"/>
      <c r="N66" s="58"/>
      <c r="O66" s="58"/>
      <c r="P66" s="58"/>
      <c r="Q66" s="58"/>
      <c r="R66" s="58"/>
      <c r="S66" s="58"/>
      <c r="T66" s="58"/>
      <c r="U66" s="58"/>
      <c r="V66" s="58"/>
      <c r="W66" s="58"/>
      <c r="X66" s="58"/>
      <c r="Y66" s="58"/>
      <c r="Z66" s="58"/>
      <c r="AA66" s="58"/>
      <c r="AB66" s="58"/>
    </row>
    <row r="67" spans="1:28" ht="12.75">
      <c r="A67" s="58"/>
      <c r="B67" s="62"/>
      <c r="C67" s="62"/>
      <c r="D67" s="83"/>
      <c r="E67" s="83"/>
      <c r="F67" s="62"/>
      <c r="G67" s="62"/>
      <c r="H67" s="62"/>
      <c r="I67" s="58"/>
      <c r="J67" s="58"/>
      <c r="K67" s="58"/>
      <c r="L67" s="58"/>
      <c r="M67" s="58"/>
      <c r="N67" s="58"/>
      <c r="O67" s="58"/>
      <c r="P67" s="58"/>
      <c r="Q67" s="58"/>
      <c r="R67" s="58"/>
      <c r="S67" s="58"/>
      <c r="T67" s="58"/>
      <c r="U67" s="58"/>
      <c r="V67" s="58"/>
      <c r="W67" s="58"/>
      <c r="X67" s="58"/>
      <c r="Y67" s="58"/>
      <c r="Z67" s="58"/>
      <c r="AA67" s="58"/>
      <c r="AB67" s="58"/>
    </row>
    <row r="68" spans="1:28" ht="12.75">
      <c r="A68" s="58"/>
      <c r="B68" s="62"/>
      <c r="C68" s="62"/>
      <c r="D68" s="83"/>
      <c r="E68" s="83"/>
      <c r="F68" s="62"/>
      <c r="G68" s="62"/>
      <c r="H68" s="62"/>
      <c r="I68" s="58"/>
      <c r="J68" s="58"/>
      <c r="K68" s="58"/>
      <c r="L68" s="58"/>
      <c r="M68" s="58"/>
      <c r="N68" s="58"/>
      <c r="O68" s="58"/>
      <c r="P68" s="58"/>
      <c r="Q68" s="58"/>
      <c r="R68" s="58"/>
      <c r="S68" s="58"/>
      <c r="T68" s="58"/>
      <c r="U68" s="58"/>
      <c r="V68" s="58"/>
      <c r="W68" s="58"/>
      <c r="X68" s="58"/>
      <c r="Y68" s="58"/>
      <c r="Z68" s="58"/>
      <c r="AA68" s="58"/>
      <c r="AB68" s="58"/>
    </row>
    <row r="69" spans="1:28" ht="12.75">
      <c r="A69" s="58"/>
      <c r="B69" s="62"/>
      <c r="C69" s="62"/>
      <c r="D69" s="83"/>
      <c r="E69" s="83"/>
      <c r="F69" s="62"/>
      <c r="G69" s="62"/>
      <c r="H69" s="62"/>
      <c r="I69" s="58"/>
      <c r="J69" s="58"/>
      <c r="K69" s="58"/>
      <c r="L69" s="58"/>
      <c r="M69" s="58"/>
      <c r="N69" s="58"/>
      <c r="O69" s="58"/>
      <c r="P69" s="58"/>
      <c r="Q69" s="58"/>
      <c r="R69" s="58"/>
      <c r="S69" s="58"/>
      <c r="T69" s="58"/>
      <c r="U69" s="58"/>
      <c r="V69" s="58"/>
      <c r="W69" s="58"/>
      <c r="X69" s="58"/>
      <c r="Y69" s="58"/>
      <c r="Z69" s="58"/>
      <c r="AA69" s="58"/>
      <c r="AB69" s="58"/>
    </row>
    <row r="70" spans="1:28" ht="12.75">
      <c r="A70" s="58"/>
      <c r="B70" s="62"/>
      <c r="C70" s="62"/>
      <c r="D70" s="83"/>
      <c r="E70" s="83"/>
      <c r="F70" s="62"/>
      <c r="G70" s="62"/>
      <c r="H70" s="62"/>
      <c r="I70" s="58"/>
      <c r="J70" s="58"/>
      <c r="K70" s="58"/>
      <c r="L70" s="58"/>
      <c r="M70" s="58"/>
      <c r="N70" s="58"/>
      <c r="O70" s="58"/>
      <c r="P70" s="58"/>
      <c r="Q70" s="58"/>
      <c r="R70" s="58"/>
      <c r="S70" s="58"/>
      <c r="T70" s="58"/>
      <c r="U70" s="58"/>
      <c r="V70" s="58"/>
      <c r="W70" s="58"/>
      <c r="X70" s="58"/>
      <c r="Y70" s="58"/>
      <c r="Z70" s="58"/>
      <c r="AA70" s="58"/>
      <c r="AB70" s="58"/>
    </row>
    <row r="71" spans="2:8" ht="12.75">
      <c r="B71" s="57"/>
      <c r="C71" s="57"/>
      <c r="D71" s="76"/>
      <c r="E71" s="76"/>
      <c r="F71" s="57"/>
      <c r="G71" s="57"/>
      <c r="H71" s="57"/>
    </row>
  </sheetData>
  <sheetProtection/>
  <mergeCells count="1">
    <mergeCell ref="B2:G2"/>
  </mergeCells>
  <printOptions/>
  <pageMargins left="0.75" right="0.75" top="1" bottom="1" header="0.5" footer="0.5"/>
  <pageSetup horizontalDpi="600" verticalDpi="600" orientation="landscape" r:id="rId4"/>
  <ignoredErrors>
    <ignoredError sqref="D24" formula="1"/>
  </ignoredErrors>
  <drawing r:id="rId3"/>
  <legacyDrawing r:id="rId2"/>
</worksheet>
</file>

<file path=xl/worksheets/sheet16.xml><?xml version="1.0" encoding="utf-8"?>
<worksheet xmlns="http://schemas.openxmlformats.org/spreadsheetml/2006/main" xmlns:r="http://schemas.openxmlformats.org/officeDocument/2006/relationships">
  <sheetPr>
    <tabColor rgb="FFFFFF00"/>
  </sheetPr>
  <dimension ref="A1:T65"/>
  <sheetViews>
    <sheetView zoomScalePageLayoutView="0" workbookViewId="0" topLeftCell="A1">
      <selection activeCell="C8" sqref="C8"/>
    </sheetView>
  </sheetViews>
  <sheetFormatPr defaultColWidth="9.33203125" defaultRowHeight="12.75"/>
  <cols>
    <col min="1" max="1" width="4.16015625" style="0" customWidth="1"/>
    <col min="2" max="2" width="36.66015625" style="0" customWidth="1"/>
    <col min="3" max="3" width="11.83203125" style="0" customWidth="1"/>
    <col min="4" max="4" width="12.83203125" style="0" customWidth="1"/>
    <col min="5" max="5" width="15.5" style="0" customWidth="1"/>
    <col min="6" max="6" width="13.16015625" style="0" customWidth="1"/>
    <col min="7" max="7" width="20.5" style="0" customWidth="1"/>
    <col min="8" max="8" width="14.83203125" style="0" customWidth="1"/>
    <col min="9" max="9" width="14" style="0" customWidth="1"/>
    <col min="10" max="10" width="16.16015625" style="0" customWidth="1"/>
    <col min="11" max="11" width="15.16015625" style="0" customWidth="1"/>
    <col min="12" max="12" width="16" style="0" customWidth="1"/>
    <col min="13" max="13" width="38.5" style="0" customWidth="1"/>
    <col min="14" max="14" width="12" style="0" customWidth="1"/>
  </cols>
  <sheetData>
    <row r="1" spans="1:20" ht="12.75">
      <c r="A1" s="58"/>
      <c r="B1" s="58"/>
      <c r="C1" s="58"/>
      <c r="D1" s="58"/>
      <c r="E1" s="58"/>
      <c r="F1" s="58"/>
      <c r="G1" s="58"/>
      <c r="H1" s="58"/>
      <c r="I1" s="58"/>
      <c r="J1" s="58"/>
      <c r="K1" s="58"/>
      <c r="L1" s="58"/>
      <c r="M1" s="58"/>
      <c r="N1" s="58"/>
      <c r="O1" s="58"/>
      <c r="P1" s="58"/>
      <c r="Q1" s="58"/>
      <c r="R1" s="58"/>
      <c r="S1" s="58"/>
      <c r="T1" s="58"/>
    </row>
    <row r="2" spans="1:20" ht="30">
      <c r="A2" s="58"/>
      <c r="B2" s="415" t="s">
        <v>272</v>
      </c>
      <c r="C2" s="416"/>
      <c r="D2" s="416"/>
      <c r="E2" s="416"/>
      <c r="F2" s="416"/>
      <c r="G2" s="181"/>
      <c r="H2" s="58"/>
      <c r="I2" s="58"/>
      <c r="J2" s="58"/>
      <c r="K2" s="58"/>
      <c r="L2" s="58"/>
      <c r="M2" s="58"/>
      <c r="N2" s="58"/>
      <c r="O2" s="58"/>
      <c r="P2" s="58"/>
      <c r="Q2" s="58"/>
      <c r="R2" s="58"/>
      <c r="S2" s="58"/>
      <c r="T2" s="58"/>
    </row>
    <row r="3" spans="1:20" ht="13.5">
      <c r="A3" s="58"/>
      <c r="B3" s="68" t="s">
        <v>77</v>
      </c>
      <c r="C3" s="58"/>
      <c r="D3" s="58"/>
      <c r="E3" s="58"/>
      <c r="F3" s="58"/>
      <c r="G3" s="58"/>
      <c r="H3" s="58"/>
      <c r="I3" s="58"/>
      <c r="J3" s="58"/>
      <c r="K3" s="58"/>
      <c r="L3" s="58"/>
      <c r="M3" s="58"/>
      <c r="N3" s="58"/>
      <c r="O3" s="58"/>
      <c r="P3" s="58"/>
      <c r="Q3" s="58"/>
      <c r="R3" s="58"/>
      <c r="S3" s="58"/>
      <c r="T3" s="58"/>
    </row>
    <row r="4" spans="1:20" ht="12.75">
      <c r="A4" s="58"/>
      <c r="B4" s="58"/>
      <c r="C4" s="58"/>
      <c r="D4" s="58"/>
      <c r="E4" s="58"/>
      <c r="F4" s="58"/>
      <c r="G4" s="58"/>
      <c r="H4" s="58"/>
      <c r="I4" s="58"/>
      <c r="J4" s="58"/>
      <c r="K4" s="58"/>
      <c r="L4" s="58"/>
      <c r="M4" s="58"/>
      <c r="N4" s="58"/>
      <c r="O4" s="58"/>
      <c r="P4" s="58"/>
      <c r="Q4" s="58"/>
      <c r="R4" s="58"/>
      <c r="S4" s="58"/>
      <c r="T4" s="58"/>
    </row>
    <row r="5" spans="1:20" ht="12.75">
      <c r="A5" s="58"/>
      <c r="B5" s="322"/>
      <c r="C5" s="301"/>
      <c r="D5" s="301"/>
      <c r="E5" s="301"/>
      <c r="F5" s="301"/>
      <c r="G5" s="301"/>
      <c r="H5" s="301"/>
      <c r="I5" s="58"/>
      <c r="J5" s="58"/>
      <c r="K5" s="58"/>
      <c r="L5" s="58"/>
      <c r="M5" s="58"/>
      <c r="N5" s="58"/>
      <c r="O5" s="58"/>
      <c r="P5" s="58"/>
      <c r="Q5" s="58"/>
      <c r="R5" s="58"/>
      <c r="S5" s="58"/>
      <c r="T5" s="58"/>
    </row>
    <row r="6" spans="1:20" ht="13.5" thickBot="1">
      <c r="A6" s="58"/>
      <c r="B6" s="179" t="s">
        <v>292</v>
      </c>
      <c r="C6" s="58"/>
      <c r="D6" s="285"/>
      <c r="E6" s="58"/>
      <c r="F6" s="58"/>
      <c r="G6" s="179"/>
      <c r="H6" s="58"/>
      <c r="I6" s="58"/>
      <c r="J6" s="58"/>
      <c r="K6" s="58"/>
      <c r="L6" s="58"/>
      <c r="M6" s="58"/>
      <c r="N6" s="58"/>
      <c r="O6" s="58"/>
      <c r="P6" s="58"/>
      <c r="Q6" s="58"/>
      <c r="R6" s="58"/>
      <c r="S6" s="58"/>
      <c r="T6" s="58"/>
    </row>
    <row r="7" spans="1:20" ht="12.75">
      <c r="A7" s="58"/>
      <c r="B7" s="262" t="s">
        <v>258</v>
      </c>
      <c r="C7" s="272">
        <f>comyear</f>
        <v>0</v>
      </c>
      <c r="D7" s="285"/>
      <c r="E7" s="58"/>
      <c r="F7" s="58"/>
      <c r="G7" s="179"/>
      <c r="H7" s="58"/>
      <c r="I7" s="58"/>
      <c r="J7" s="58"/>
      <c r="K7" s="58"/>
      <c r="L7" s="58"/>
      <c r="M7" s="58"/>
      <c r="N7" s="286"/>
      <c r="O7" s="58"/>
      <c r="P7" s="58"/>
      <c r="Q7" s="58"/>
      <c r="R7" s="58"/>
      <c r="S7" s="58"/>
      <c r="T7" s="58"/>
    </row>
    <row r="8" spans="1:20" ht="12.75" customHeight="1">
      <c r="A8" s="58"/>
      <c r="B8" s="300" t="s">
        <v>274</v>
      </c>
      <c r="C8" s="268"/>
      <c r="D8" s="328"/>
      <c r="E8" s="329"/>
      <c r="F8" s="329"/>
      <c r="G8" s="58"/>
      <c r="H8" s="58"/>
      <c r="I8" s="58"/>
      <c r="J8" s="58"/>
      <c r="K8" s="58"/>
      <c r="L8" s="58"/>
      <c r="M8" s="58"/>
      <c r="N8" s="58"/>
      <c r="O8" s="58"/>
      <c r="P8" s="58"/>
      <c r="Q8" s="58"/>
      <c r="R8" s="58"/>
      <c r="S8" s="58"/>
      <c r="T8" s="58"/>
    </row>
    <row r="9" spans="1:20" ht="13.5" thickBot="1">
      <c r="A9" s="58"/>
      <c r="B9" s="283" t="s">
        <v>289</v>
      </c>
      <c r="C9" s="284"/>
      <c r="D9" s="328"/>
      <c r="E9" s="329"/>
      <c r="F9" s="329"/>
      <c r="G9" s="58"/>
      <c r="H9" s="58"/>
      <c r="I9" s="58"/>
      <c r="J9" s="58"/>
      <c r="K9" s="58"/>
      <c r="L9" s="58"/>
      <c r="M9" s="58"/>
      <c r="N9" s="58"/>
      <c r="O9" s="58"/>
      <c r="P9" s="58"/>
      <c r="Q9" s="58"/>
      <c r="R9" s="58"/>
      <c r="S9" s="58"/>
      <c r="T9" s="58"/>
    </row>
    <row r="10" spans="1:20" ht="12.75">
      <c r="A10" s="58"/>
      <c r="B10" s="179" t="s">
        <v>259</v>
      </c>
      <c r="C10" s="58"/>
      <c r="D10" s="58"/>
      <c r="E10" s="58"/>
      <c r="F10" s="58"/>
      <c r="G10" s="58"/>
      <c r="H10" s="58"/>
      <c r="I10" s="58"/>
      <c r="J10" s="58"/>
      <c r="K10" s="58"/>
      <c r="L10" s="58"/>
      <c r="M10" s="58"/>
      <c r="N10" s="58"/>
      <c r="O10" s="58"/>
      <c r="P10" s="58"/>
      <c r="Q10" s="58"/>
      <c r="R10" s="58"/>
      <c r="S10" s="58"/>
      <c r="T10" s="58"/>
    </row>
    <row r="11" spans="1:20" ht="12.75">
      <c r="A11" s="58"/>
      <c r="B11" s="58"/>
      <c r="C11" s="58"/>
      <c r="D11" s="58"/>
      <c r="E11" s="58"/>
      <c r="F11" s="58"/>
      <c r="G11" s="58"/>
      <c r="H11" s="58"/>
      <c r="I11" s="58"/>
      <c r="J11" s="58"/>
      <c r="K11" s="58"/>
      <c r="L11" s="58"/>
      <c r="M11" s="58"/>
      <c r="N11" s="58"/>
      <c r="O11" s="58"/>
      <c r="P11" s="58"/>
      <c r="Q11" s="58"/>
      <c r="R11" s="58"/>
      <c r="S11" s="58"/>
      <c r="T11" s="58"/>
    </row>
    <row r="12" spans="1:20" ht="13.5" thickBot="1">
      <c r="A12" s="58"/>
      <c r="B12" s="58"/>
      <c r="C12" s="58"/>
      <c r="D12" s="58"/>
      <c r="E12" s="58"/>
      <c r="F12" s="58"/>
      <c r="G12" s="58"/>
      <c r="H12" s="58"/>
      <c r="I12" s="58"/>
      <c r="J12" s="58"/>
      <c r="K12" s="58"/>
      <c r="L12" s="58"/>
      <c r="M12" s="58"/>
      <c r="N12" s="58"/>
      <c r="O12" s="58"/>
      <c r="P12" s="58"/>
      <c r="Q12" s="58"/>
      <c r="R12" s="58"/>
      <c r="S12" s="58"/>
      <c r="T12" s="58"/>
    </row>
    <row r="13" spans="1:20" ht="26.25" thickBot="1">
      <c r="A13" s="58"/>
      <c r="B13" s="58"/>
      <c r="C13" s="296" t="s">
        <v>260</v>
      </c>
      <c r="D13" s="327" t="s">
        <v>290</v>
      </c>
      <c r="E13" s="297" t="s">
        <v>261</v>
      </c>
      <c r="F13" s="417" t="s">
        <v>279</v>
      </c>
      <c r="G13" s="418"/>
      <c r="H13" s="58"/>
      <c r="I13" s="428" t="s">
        <v>262</v>
      </c>
      <c r="J13" s="429"/>
      <c r="K13" s="429"/>
      <c r="L13" s="430"/>
      <c r="M13" s="58"/>
      <c r="N13" s="58"/>
      <c r="O13" s="58"/>
      <c r="P13" s="58"/>
      <c r="Q13" s="58"/>
      <c r="R13" s="58"/>
      <c r="S13" s="58"/>
      <c r="T13" s="58"/>
    </row>
    <row r="14" spans="1:20" ht="15" customHeight="1">
      <c r="A14" s="58"/>
      <c r="B14" s="262" t="s">
        <v>76</v>
      </c>
      <c r="C14" s="273" t="e">
        <f>'Community Summary'!D9</f>
        <v>#N/A</v>
      </c>
      <c r="D14" s="269"/>
      <c r="E14" s="273" t="e">
        <f>C14*(1+D14)</f>
        <v>#N/A</v>
      </c>
      <c r="F14" s="419"/>
      <c r="G14" s="420"/>
      <c r="H14" s="58"/>
      <c r="I14" s="431" t="s">
        <v>284</v>
      </c>
      <c r="J14" s="432"/>
      <c r="K14" s="432"/>
      <c r="L14" s="433"/>
      <c r="M14" s="58"/>
      <c r="N14" s="58"/>
      <c r="O14" s="58"/>
      <c r="P14" s="58"/>
      <c r="Q14" s="58"/>
      <c r="R14" s="58"/>
      <c r="S14" s="58"/>
      <c r="T14" s="58"/>
    </row>
    <row r="15" spans="1:20" ht="15" customHeight="1">
      <c r="A15" s="58"/>
      <c r="B15" s="300" t="s">
        <v>176</v>
      </c>
      <c r="C15" s="274" t="e">
        <f>'Community Summary'!D10</f>
        <v>#N/A</v>
      </c>
      <c r="D15" s="270"/>
      <c r="E15" s="274" t="e">
        <f>C15*(1+D15)</f>
        <v>#N/A</v>
      </c>
      <c r="F15" s="423"/>
      <c r="G15" s="422"/>
      <c r="H15" s="58"/>
      <c r="I15" s="434" t="s">
        <v>285</v>
      </c>
      <c r="J15" s="435"/>
      <c r="K15" s="435"/>
      <c r="L15" s="436"/>
      <c r="M15" s="58"/>
      <c r="N15" s="58"/>
      <c r="O15" s="58"/>
      <c r="P15" s="58"/>
      <c r="Q15" s="58"/>
      <c r="R15" s="58"/>
      <c r="S15" s="58"/>
      <c r="T15" s="58"/>
    </row>
    <row r="16" spans="1:20" ht="15" customHeight="1">
      <c r="A16" s="58"/>
      <c r="B16" s="300" t="s">
        <v>79</v>
      </c>
      <c r="C16" s="274" t="e">
        <f>'Community Summary'!D11</f>
        <v>#N/A</v>
      </c>
      <c r="D16" s="270"/>
      <c r="E16" s="274" t="e">
        <f>C16*(1+D16)</f>
        <v>#N/A</v>
      </c>
      <c r="F16" s="423"/>
      <c r="G16" s="422"/>
      <c r="H16" s="58"/>
      <c r="I16" s="487"/>
      <c r="J16" s="488"/>
      <c r="K16" s="488"/>
      <c r="L16" s="489"/>
      <c r="M16" s="58"/>
      <c r="N16" s="58"/>
      <c r="O16" s="58"/>
      <c r="P16" s="58"/>
      <c r="Q16" s="58"/>
      <c r="R16" s="58"/>
      <c r="S16" s="58"/>
      <c r="T16" s="58"/>
    </row>
    <row r="17" spans="1:20" ht="15" customHeight="1" thickBot="1">
      <c r="A17" s="58"/>
      <c r="B17" s="263" t="s">
        <v>88</v>
      </c>
      <c r="C17" s="274">
        <f>'Community Summary'!D12</f>
        <v>0</v>
      </c>
      <c r="D17" s="271"/>
      <c r="E17" s="274">
        <f>C17*(1+D17)</f>
        <v>0</v>
      </c>
      <c r="F17" s="423"/>
      <c r="G17" s="422"/>
      <c r="H17" s="58"/>
      <c r="I17" s="437"/>
      <c r="J17" s="438"/>
      <c r="K17" s="438"/>
      <c r="L17" s="439"/>
      <c r="M17" s="58"/>
      <c r="N17" s="58"/>
      <c r="O17" s="58"/>
      <c r="P17" s="58"/>
      <c r="Q17" s="58"/>
      <c r="R17" s="58"/>
      <c r="S17" s="58"/>
      <c r="T17" s="58"/>
    </row>
    <row r="18" spans="1:20" ht="15" customHeight="1" thickBot="1">
      <c r="A18" s="58"/>
      <c r="B18" s="264" t="s">
        <v>66</v>
      </c>
      <c r="C18" s="302">
        <f>'Community Summary'!D13</f>
        <v>0</v>
      </c>
      <c r="D18" s="271"/>
      <c r="E18" s="275">
        <f>C18*(1+D18)</f>
        <v>0</v>
      </c>
      <c r="F18" s="426"/>
      <c r="G18" s="427"/>
      <c r="H18" s="58"/>
      <c r="I18" s="58"/>
      <c r="J18" s="58"/>
      <c r="K18" s="288"/>
      <c r="L18" s="289"/>
      <c r="M18" s="58"/>
      <c r="N18" s="58"/>
      <c r="O18" s="58"/>
      <c r="P18" s="58"/>
      <c r="Q18" s="58"/>
      <c r="R18" s="58"/>
      <c r="S18" s="58"/>
      <c r="T18" s="58"/>
    </row>
    <row r="19" spans="1:20" ht="16.5" customHeight="1" thickBot="1">
      <c r="A19" s="58"/>
      <c r="B19" s="265" t="s">
        <v>265</v>
      </c>
      <c r="C19" s="277" t="e">
        <f>SUM(C14:C18)</f>
        <v>#N/A</v>
      </c>
      <c r="D19" s="266"/>
      <c r="E19" s="276" t="e">
        <f>SUM(E14:E18)</f>
        <v>#N/A</v>
      </c>
      <c r="F19" s="298"/>
      <c r="G19" s="299"/>
      <c r="H19" s="58"/>
      <c r="I19" s="62"/>
      <c r="J19" s="62"/>
      <c r="K19" s="62"/>
      <c r="L19" s="62"/>
      <c r="M19" s="62"/>
      <c r="N19" s="62"/>
      <c r="O19" s="62"/>
      <c r="P19" s="58"/>
      <c r="Q19" s="58"/>
      <c r="R19" s="58"/>
      <c r="S19" s="58"/>
      <c r="T19" s="58"/>
    </row>
    <row r="20" spans="1:20" ht="12.75">
      <c r="A20" s="58"/>
      <c r="B20" s="179" t="s">
        <v>291</v>
      </c>
      <c r="C20" s="58"/>
      <c r="D20" s="58"/>
      <c r="E20" s="58"/>
      <c r="F20" s="58"/>
      <c r="G20" s="58"/>
      <c r="H20" s="58"/>
      <c r="I20" s="62"/>
      <c r="J20" s="62"/>
      <c r="K20" s="62"/>
      <c r="L20" s="62"/>
      <c r="M20" s="62"/>
      <c r="N20" s="62"/>
      <c r="O20" s="62"/>
      <c r="P20" s="58"/>
      <c r="Q20" s="58"/>
      <c r="R20" s="58"/>
      <c r="S20" s="58"/>
      <c r="T20" s="58"/>
    </row>
    <row r="21" spans="1:20" ht="12.75">
      <c r="A21" s="58"/>
      <c r="B21" s="292"/>
      <c r="C21" s="293"/>
      <c r="D21" s="58"/>
      <c r="E21" s="58"/>
      <c r="F21" s="58"/>
      <c r="G21" s="58"/>
      <c r="H21" s="58"/>
      <c r="I21" s="62"/>
      <c r="J21" s="307"/>
      <c r="K21" s="308"/>
      <c r="L21" s="124"/>
      <c r="M21" s="309"/>
      <c r="N21" s="310"/>
      <c r="O21" s="62"/>
      <c r="P21" s="58"/>
      <c r="Q21" s="58"/>
      <c r="R21" s="58"/>
      <c r="S21" s="58"/>
      <c r="T21" s="58"/>
    </row>
    <row r="22" spans="1:20" ht="12.75">
      <c r="A22" s="58"/>
      <c r="B22" s="288"/>
      <c r="C22" s="289"/>
      <c r="D22" s="58"/>
      <c r="E22" s="58"/>
      <c r="F22" s="58"/>
      <c r="G22" s="58"/>
      <c r="H22" s="58"/>
      <c r="I22" s="58"/>
      <c r="J22" s="58"/>
      <c r="K22" s="288"/>
      <c r="L22" s="289"/>
      <c r="M22" s="58"/>
      <c r="N22" s="58"/>
      <c r="O22" s="58"/>
      <c r="P22" s="58"/>
      <c r="Q22" s="58"/>
      <c r="R22" s="58"/>
      <c r="S22" s="58"/>
      <c r="T22" s="58"/>
    </row>
    <row r="23" spans="1:20" ht="12.75">
      <c r="A23" s="58"/>
      <c r="B23" s="58"/>
      <c r="C23" s="58"/>
      <c r="D23" s="58"/>
      <c r="E23" s="58"/>
      <c r="F23" s="58"/>
      <c r="G23" s="58"/>
      <c r="H23" s="58"/>
      <c r="I23" s="58"/>
      <c r="J23" s="58"/>
      <c r="K23" s="58"/>
      <c r="L23" s="58"/>
      <c r="M23" s="58"/>
      <c r="N23" s="58"/>
      <c r="O23" s="58"/>
      <c r="P23" s="58"/>
      <c r="Q23" s="58"/>
      <c r="R23" s="58"/>
      <c r="S23" s="58"/>
      <c r="T23" s="58"/>
    </row>
    <row r="24" spans="1:20" ht="12.75">
      <c r="A24" s="58"/>
      <c r="B24" s="58"/>
      <c r="C24" s="58"/>
      <c r="D24" s="58"/>
      <c r="E24" s="58"/>
      <c r="F24" s="58"/>
      <c r="G24" s="58"/>
      <c r="H24" s="58"/>
      <c r="I24" s="58"/>
      <c r="J24" s="58"/>
      <c r="K24" s="58"/>
      <c r="L24" s="58"/>
      <c r="M24" s="58"/>
      <c r="N24" s="58"/>
      <c r="O24" s="58"/>
      <c r="P24" s="58"/>
      <c r="Q24" s="58"/>
      <c r="R24" s="58"/>
      <c r="S24" s="58"/>
      <c r="T24" s="58"/>
    </row>
    <row r="25" spans="1:20" ht="12.75">
      <c r="A25" s="58"/>
      <c r="B25" s="58"/>
      <c r="C25" s="58"/>
      <c r="D25" s="58"/>
      <c r="E25" s="58"/>
      <c r="F25" s="58"/>
      <c r="G25" s="58"/>
      <c r="H25" s="58"/>
      <c r="I25" s="58"/>
      <c r="J25" s="58"/>
      <c r="K25" s="58"/>
      <c r="L25" s="58"/>
      <c r="M25" s="58"/>
      <c r="N25" s="58"/>
      <c r="O25" s="58"/>
      <c r="P25" s="58"/>
      <c r="Q25" s="58"/>
      <c r="R25" s="58"/>
      <c r="S25" s="58"/>
      <c r="T25" s="58"/>
    </row>
    <row r="26" spans="1:20" ht="12.75">
      <c r="A26" s="58"/>
      <c r="B26" s="58"/>
      <c r="C26" s="58"/>
      <c r="D26" s="58"/>
      <c r="E26" s="58"/>
      <c r="F26" s="58"/>
      <c r="G26" s="58"/>
      <c r="H26" s="58"/>
      <c r="I26" s="58"/>
      <c r="J26" s="58"/>
      <c r="K26" s="58"/>
      <c r="L26" s="58"/>
      <c r="M26" s="58"/>
      <c r="N26" s="58"/>
      <c r="O26" s="58"/>
      <c r="P26" s="58"/>
      <c r="Q26" s="58"/>
      <c r="R26" s="58"/>
      <c r="S26" s="58"/>
      <c r="T26" s="58"/>
    </row>
    <row r="27" spans="1:20" ht="12.75">
      <c r="A27" s="58"/>
      <c r="B27" s="58"/>
      <c r="C27" s="58"/>
      <c r="D27" s="58"/>
      <c r="E27" s="58"/>
      <c r="F27" s="58"/>
      <c r="G27" s="58"/>
      <c r="H27" s="58"/>
      <c r="I27" s="58"/>
      <c r="J27" s="58"/>
      <c r="K27" s="58"/>
      <c r="L27" s="58"/>
      <c r="M27" s="58"/>
      <c r="N27" s="58"/>
      <c r="O27" s="58"/>
      <c r="P27" s="58"/>
      <c r="Q27" s="58"/>
      <c r="R27" s="58"/>
      <c r="S27" s="58"/>
      <c r="T27" s="58"/>
    </row>
    <row r="28" spans="1:20" ht="12.75">
      <c r="A28" s="58"/>
      <c r="B28" s="58"/>
      <c r="C28" s="58"/>
      <c r="D28" s="58"/>
      <c r="E28" s="58"/>
      <c r="F28" s="58"/>
      <c r="G28" s="58"/>
      <c r="H28" s="58"/>
      <c r="I28" s="58"/>
      <c r="J28" s="58"/>
      <c r="K28" s="58"/>
      <c r="L28" s="58"/>
      <c r="M28" s="58"/>
      <c r="N28" s="58"/>
      <c r="O28" s="58"/>
      <c r="P28" s="58"/>
      <c r="Q28" s="58"/>
      <c r="R28" s="58"/>
      <c r="S28" s="58"/>
      <c r="T28" s="58"/>
    </row>
    <row r="29" spans="1:20" ht="12.75">
      <c r="A29" s="58"/>
      <c r="B29" s="58"/>
      <c r="C29" s="58"/>
      <c r="D29" s="58"/>
      <c r="E29" s="58"/>
      <c r="F29" s="58"/>
      <c r="G29" s="58"/>
      <c r="H29" s="58"/>
      <c r="I29" s="58"/>
      <c r="J29" s="58"/>
      <c r="K29" s="58"/>
      <c r="L29" s="58"/>
      <c r="M29" s="58"/>
      <c r="N29" s="58"/>
      <c r="O29" s="58"/>
      <c r="P29" s="58"/>
      <c r="Q29" s="58"/>
      <c r="R29" s="58"/>
      <c r="S29" s="58"/>
      <c r="T29" s="58"/>
    </row>
    <row r="30" spans="1:20" ht="12.75">
      <c r="A30" s="58"/>
      <c r="B30" s="58"/>
      <c r="C30" s="58"/>
      <c r="D30" s="58"/>
      <c r="E30" s="58"/>
      <c r="F30" s="58"/>
      <c r="G30" s="58"/>
      <c r="H30" s="58"/>
      <c r="I30" s="58"/>
      <c r="J30" s="58"/>
      <c r="K30" s="58"/>
      <c r="L30" s="58"/>
      <c r="M30" s="58"/>
      <c r="N30" s="58"/>
      <c r="O30" s="58"/>
      <c r="P30" s="58"/>
      <c r="Q30" s="58"/>
      <c r="R30" s="58"/>
      <c r="S30" s="58"/>
      <c r="T30" s="58"/>
    </row>
    <row r="31" spans="1:20" ht="12.75">
      <c r="A31" s="58"/>
      <c r="B31" s="58"/>
      <c r="C31" s="58"/>
      <c r="D31" s="58"/>
      <c r="E31" s="58"/>
      <c r="F31" s="58"/>
      <c r="G31" s="58"/>
      <c r="H31" s="58"/>
      <c r="I31" s="58"/>
      <c r="J31" s="58"/>
      <c r="K31" s="58"/>
      <c r="L31" s="58"/>
      <c r="M31" s="58"/>
      <c r="N31" s="58"/>
      <c r="O31" s="58"/>
      <c r="P31" s="58"/>
      <c r="Q31" s="58"/>
      <c r="R31" s="58"/>
      <c r="S31" s="58"/>
      <c r="T31" s="58"/>
    </row>
    <row r="32" spans="1:20" ht="12.75">
      <c r="A32" s="58"/>
      <c r="B32" s="58"/>
      <c r="C32" s="58"/>
      <c r="D32" s="58"/>
      <c r="E32" s="58"/>
      <c r="F32" s="58"/>
      <c r="G32" s="58"/>
      <c r="H32" s="58"/>
      <c r="I32" s="58"/>
      <c r="J32" s="58"/>
      <c r="K32" s="58"/>
      <c r="L32" s="58"/>
      <c r="M32" s="58"/>
      <c r="N32" s="58"/>
      <c r="O32" s="58"/>
      <c r="P32" s="58"/>
      <c r="Q32" s="58"/>
      <c r="R32" s="58"/>
      <c r="S32" s="58"/>
      <c r="T32" s="58"/>
    </row>
    <row r="33" spans="1:20" ht="12.75">
      <c r="A33" s="58"/>
      <c r="B33" s="58"/>
      <c r="C33" s="290"/>
      <c r="D33" s="58"/>
      <c r="E33" s="58"/>
      <c r="F33" s="58"/>
      <c r="G33" s="58"/>
      <c r="H33" s="58"/>
      <c r="I33" s="58"/>
      <c r="J33" s="58"/>
      <c r="K33" s="58"/>
      <c r="L33" s="58"/>
      <c r="M33" s="58"/>
      <c r="N33" s="58"/>
      <c r="O33" s="58"/>
      <c r="P33" s="58"/>
      <c r="Q33" s="58"/>
      <c r="R33" s="58"/>
      <c r="S33" s="58"/>
      <c r="T33" s="58"/>
    </row>
    <row r="34" spans="1:20" ht="12.75">
      <c r="A34" s="58"/>
      <c r="B34" s="58"/>
      <c r="C34" s="58"/>
      <c r="D34" s="58"/>
      <c r="E34" s="58"/>
      <c r="F34" s="58"/>
      <c r="G34" s="58"/>
      <c r="H34" s="58"/>
      <c r="I34" s="58"/>
      <c r="J34" s="58"/>
      <c r="K34" s="58"/>
      <c r="L34" s="58"/>
      <c r="M34" s="58"/>
      <c r="N34" s="58"/>
      <c r="O34" s="58"/>
      <c r="P34" s="58"/>
      <c r="Q34" s="58"/>
      <c r="R34" s="58"/>
      <c r="S34" s="58"/>
      <c r="T34" s="58"/>
    </row>
    <row r="35" spans="1:20" ht="12.75">
      <c r="A35" s="58"/>
      <c r="B35" s="58"/>
      <c r="C35" s="58"/>
      <c r="D35" s="58"/>
      <c r="E35" s="58"/>
      <c r="F35" s="58"/>
      <c r="G35" s="58"/>
      <c r="H35" s="58"/>
      <c r="I35" s="58"/>
      <c r="J35" s="58"/>
      <c r="K35" s="58"/>
      <c r="L35" s="58"/>
      <c r="M35" s="58"/>
      <c r="N35" s="58"/>
      <c r="O35" s="58"/>
      <c r="P35" s="58"/>
      <c r="Q35" s="58"/>
      <c r="R35" s="58"/>
      <c r="S35" s="58"/>
      <c r="T35" s="58"/>
    </row>
    <row r="36" spans="1:20" ht="12.75">
      <c r="A36" s="58"/>
      <c r="B36" s="58"/>
      <c r="C36" s="58"/>
      <c r="D36" s="58"/>
      <c r="E36" s="58"/>
      <c r="F36" s="58"/>
      <c r="G36" s="58"/>
      <c r="H36" s="58"/>
      <c r="I36" s="58"/>
      <c r="J36" s="58"/>
      <c r="K36" s="58"/>
      <c r="L36" s="58"/>
      <c r="M36" s="58"/>
      <c r="N36" s="58"/>
      <c r="O36" s="58"/>
      <c r="P36" s="58"/>
      <c r="Q36" s="58"/>
      <c r="R36" s="58"/>
      <c r="S36" s="58"/>
      <c r="T36" s="58"/>
    </row>
    <row r="37" spans="1:20" ht="12.75">
      <c r="A37" s="58"/>
      <c r="B37" s="58"/>
      <c r="C37" s="58"/>
      <c r="D37" s="58"/>
      <c r="E37" s="58"/>
      <c r="F37" s="58"/>
      <c r="G37" s="58"/>
      <c r="H37" s="58"/>
      <c r="I37" s="58"/>
      <c r="J37" s="58"/>
      <c r="K37" s="58"/>
      <c r="L37" s="58"/>
      <c r="M37" s="58"/>
      <c r="N37" s="58"/>
      <c r="O37" s="58"/>
      <c r="P37" s="58"/>
      <c r="Q37" s="58"/>
      <c r="R37" s="58"/>
      <c r="S37" s="58"/>
      <c r="T37" s="58"/>
    </row>
    <row r="38" spans="1:20" ht="12.75">
      <c r="A38" s="58"/>
      <c r="B38" s="58"/>
      <c r="C38" s="58"/>
      <c r="D38" s="58"/>
      <c r="E38" s="58"/>
      <c r="F38" s="58"/>
      <c r="G38" s="58"/>
      <c r="H38" s="58"/>
      <c r="I38" s="58"/>
      <c r="J38" s="58"/>
      <c r="K38" s="58"/>
      <c r="L38" s="58"/>
      <c r="M38" s="58"/>
      <c r="N38" s="58"/>
      <c r="O38" s="58"/>
      <c r="P38" s="58"/>
      <c r="Q38" s="58"/>
      <c r="R38" s="58"/>
      <c r="S38" s="58"/>
      <c r="T38" s="58"/>
    </row>
    <row r="39" spans="1:20" ht="12.75">
      <c r="A39" s="58"/>
      <c r="B39" s="58"/>
      <c r="C39" s="58"/>
      <c r="D39" s="58"/>
      <c r="E39" s="58"/>
      <c r="F39" s="58"/>
      <c r="G39" s="58"/>
      <c r="H39" s="58"/>
      <c r="I39" s="58"/>
      <c r="J39" s="58"/>
      <c r="K39" s="58"/>
      <c r="L39" s="58"/>
      <c r="M39" s="58"/>
      <c r="N39" s="58"/>
      <c r="O39" s="58"/>
      <c r="P39" s="58"/>
      <c r="Q39" s="58"/>
      <c r="R39" s="58"/>
      <c r="S39" s="58"/>
      <c r="T39" s="58"/>
    </row>
    <row r="40" spans="1:20" ht="12.75">
      <c r="A40" s="58"/>
      <c r="B40" s="58"/>
      <c r="C40" s="58"/>
      <c r="D40" s="58"/>
      <c r="E40" s="58"/>
      <c r="F40" s="58"/>
      <c r="G40" s="58"/>
      <c r="H40" s="58"/>
      <c r="I40" s="58"/>
      <c r="J40" s="58"/>
      <c r="K40" s="58"/>
      <c r="L40" s="58"/>
      <c r="M40" s="58"/>
      <c r="N40" s="58"/>
      <c r="O40" s="58"/>
      <c r="P40" s="58"/>
      <c r="Q40" s="58"/>
      <c r="R40" s="58"/>
      <c r="S40" s="58"/>
      <c r="T40" s="58"/>
    </row>
    <row r="41" spans="1:20" ht="12.75">
      <c r="A41" s="58"/>
      <c r="B41" s="58"/>
      <c r="C41" s="58"/>
      <c r="D41" s="58"/>
      <c r="E41" s="58"/>
      <c r="F41" s="58"/>
      <c r="G41" s="58"/>
      <c r="H41" s="58"/>
      <c r="I41" s="58"/>
      <c r="J41" s="58"/>
      <c r="K41" s="58"/>
      <c r="L41" s="58"/>
      <c r="M41" s="58"/>
      <c r="N41" s="58"/>
      <c r="O41" s="58"/>
      <c r="P41" s="58"/>
      <c r="Q41" s="58"/>
      <c r="R41" s="58"/>
      <c r="S41" s="58"/>
      <c r="T41" s="58"/>
    </row>
    <row r="42" spans="1:20" ht="12.75">
      <c r="A42" s="58"/>
      <c r="B42" s="58"/>
      <c r="C42" s="58"/>
      <c r="D42" s="58"/>
      <c r="E42" s="58"/>
      <c r="F42" s="58"/>
      <c r="G42" s="58"/>
      <c r="H42" s="58"/>
      <c r="I42" s="58"/>
      <c r="J42" s="58"/>
      <c r="K42" s="58"/>
      <c r="L42" s="58"/>
      <c r="M42" s="58"/>
      <c r="N42" s="58"/>
      <c r="O42" s="58"/>
      <c r="P42" s="58"/>
      <c r="Q42" s="58"/>
      <c r="R42" s="58"/>
      <c r="S42" s="58"/>
      <c r="T42" s="58"/>
    </row>
    <row r="43" spans="1:20" ht="12.75">
      <c r="A43" s="58"/>
      <c r="B43" s="58"/>
      <c r="C43" s="58"/>
      <c r="D43" s="58"/>
      <c r="E43" s="58"/>
      <c r="F43" s="58"/>
      <c r="G43" s="58"/>
      <c r="H43" s="58"/>
      <c r="I43" s="58"/>
      <c r="J43" s="58"/>
      <c r="K43" s="58"/>
      <c r="L43" s="58"/>
      <c r="M43" s="58"/>
      <c r="N43" s="58"/>
      <c r="O43" s="58"/>
      <c r="P43" s="58"/>
      <c r="Q43" s="58"/>
      <c r="R43" s="58"/>
      <c r="S43" s="58"/>
      <c r="T43" s="58"/>
    </row>
    <row r="44" spans="1:20" ht="12.75">
      <c r="A44" s="58"/>
      <c r="B44" s="58"/>
      <c r="C44" s="58"/>
      <c r="D44" s="58"/>
      <c r="E44" s="58"/>
      <c r="F44" s="58"/>
      <c r="G44" s="58"/>
      <c r="H44" s="58"/>
      <c r="I44" s="58"/>
      <c r="J44" s="58"/>
      <c r="K44" s="58"/>
      <c r="L44" s="58"/>
      <c r="M44" s="58"/>
      <c r="N44" s="58"/>
      <c r="O44" s="58"/>
      <c r="P44" s="58"/>
      <c r="Q44" s="58"/>
      <c r="R44" s="58"/>
      <c r="S44" s="58"/>
      <c r="T44" s="58"/>
    </row>
    <row r="45" spans="1:20" ht="12.75">
      <c r="A45" s="58"/>
      <c r="B45" s="58"/>
      <c r="C45" s="58"/>
      <c r="D45" s="58"/>
      <c r="E45" s="58"/>
      <c r="F45" s="58"/>
      <c r="G45" s="58"/>
      <c r="H45" s="58"/>
      <c r="I45" s="58"/>
      <c r="J45" s="58"/>
      <c r="K45" s="58"/>
      <c r="L45" s="58"/>
      <c r="M45" s="58"/>
      <c r="N45" s="58"/>
      <c r="O45" s="58"/>
      <c r="P45" s="58"/>
      <c r="Q45" s="58"/>
      <c r="R45" s="58"/>
      <c r="S45" s="58"/>
      <c r="T45" s="58"/>
    </row>
    <row r="46" spans="1:20" ht="12.75">
      <c r="A46" s="58"/>
      <c r="B46" s="58" t="s">
        <v>266</v>
      </c>
      <c r="C46" s="58"/>
      <c r="D46" s="58"/>
      <c r="E46" s="58"/>
      <c r="F46" s="58"/>
      <c r="G46" s="58"/>
      <c r="H46" s="58" t="s">
        <v>267</v>
      </c>
      <c r="I46" s="346" t="s">
        <v>269</v>
      </c>
      <c r="J46" s="346" t="s">
        <v>268</v>
      </c>
      <c r="K46" s="58"/>
      <c r="L46" s="58"/>
      <c r="M46" s="58"/>
      <c r="N46" s="58"/>
      <c r="O46" s="58"/>
      <c r="P46" s="58"/>
      <c r="Q46" s="58"/>
      <c r="R46" s="58"/>
      <c r="S46" s="58"/>
      <c r="T46" s="58"/>
    </row>
    <row r="47" spans="1:20" ht="12.75">
      <c r="A47" s="58"/>
      <c r="B47" s="2" t="s">
        <v>268</v>
      </c>
      <c r="C47" s="278">
        <f>C7</f>
        <v>0</v>
      </c>
      <c r="D47" s="279" t="e">
        <f>C19</f>
        <v>#N/A</v>
      </c>
      <c r="E47" s="58"/>
      <c r="F47" s="58"/>
      <c r="G47" s="58"/>
      <c r="H47" s="267" t="str">
        <f aca="true" t="shared" si="0" ref="H47:I50">B14</f>
        <v>Residential</v>
      </c>
      <c r="I47" s="282" t="e">
        <f t="shared" si="0"/>
        <v>#N/A</v>
      </c>
      <c r="J47" s="279" t="e">
        <f>E14</f>
        <v>#N/A</v>
      </c>
      <c r="K47" s="58"/>
      <c r="L47" s="285"/>
      <c r="M47" s="294"/>
      <c r="N47" s="58"/>
      <c r="O47" s="58"/>
      <c r="P47" s="58"/>
      <c r="Q47" s="58"/>
      <c r="R47" s="58"/>
      <c r="S47" s="58"/>
      <c r="T47" s="58"/>
    </row>
    <row r="48" spans="1:20" ht="12.75">
      <c r="A48" s="58"/>
      <c r="B48" s="2"/>
      <c r="C48" s="280">
        <f>(C47+((C49-C47)*0.5))</f>
        <v>0</v>
      </c>
      <c r="D48" s="279" t="e">
        <f>(C19+((E19-C19)*0.5))</f>
        <v>#N/A</v>
      </c>
      <c r="E48" s="58"/>
      <c r="F48" s="58"/>
      <c r="G48" s="58"/>
      <c r="H48" s="267" t="str">
        <f t="shared" si="0"/>
        <v>Commercial</v>
      </c>
      <c r="I48" s="282" t="e">
        <f t="shared" si="0"/>
        <v>#N/A</v>
      </c>
      <c r="J48" s="279" t="e">
        <f>E15</f>
        <v>#N/A</v>
      </c>
      <c r="K48" s="58"/>
      <c r="L48" s="295"/>
      <c r="M48" s="294"/>
      <c r="N48" s="58"/>
      <c r="O48" s="58"/>
      <c r="P48" s="58"/>
      <c r="Q48" s="58"/>
      <c r="R48" s="58"/>
      <c r="S48" s="58"/>
      <c r="T48" s="58"/>
    </row>
    <row r="49" spans="1:20" ht="12.75">
      <c r="A49" s="58"/>
      <c r="B49" s="2"/>
      <c r="C49" s="278">
        <f>C8</f>
        <v>0</v>
      </c>
      <c r="D49" s="279" t="e">
        <f>E19</f>
        <v>#N/A</v>
      </c>
      <c r="E49" s="58"/>
      <c r="F49" s="58"/>
      <c r="G49" s="58"/>
      <c r="H49" s="267" t="str">
        <f t="shared" si="0"/>
        <v>Industrial</v>
      </c>
      <c r="I49" s="282" t="e">
        <f t="shared" si="0"/>
        <v>#N/A</v>
      </c>
      <c r="J49" s="279" t="e">
        <f>E16</f>
        <v>#N/A</v>
      </c>
      <c r="K49" s="58"/>
      <c r="L49" s="285"/>
      <c r="M49" s="294"/>
      <c r="N49" s="58"/>
      <c r="O49" s="58"/>
      <c r="P49" s="58"/>
      <c r="Q49" s="58"/>
      <c r="R49" s="58"/>
      <c r="S49" s="58"/>
      <c r="T49" s="58"/>
    </row>
    <row r="50" spans="1:20" ht="12.75">
      <c r="A50" s="58"/>
      <c r="B50" s="2" t="s">
        <v>269</v>
      </c>
      <c r="C50" s="278">
        <f>C7</f>
        <v>0</v>
      </c>
      <c r="D50" s="279" t="e">
        <f>C19</f>
        <v>#N/A</v>
      </c>
      <c r="E50" s="58"/>
      <c r="F50" s="58"/>
      <c r="G50" s="58"/>
      <c r="H50" s="267" t="str">
        <f t="shared" si="0"/>
        <v>Transportation</v>
      </c>
      <c r="I50" s="282">
        <f>C17</f>
        <v>0</v>
      </c>
      <c r="J50" s="279">
        <f>E17</f>
        <v>0</v>
      </c>
      <c r="K50" s="58"/>
      <c r="L50" s="285"/>
      <c r="M50" s="294"/>
      <c r="N50" s="58"/>
      <c r="O50" s="58"/>
      <c r="P50" s="58"/>
      <c r="Q50" s="58"/>
      <c r="R50" s="58"/>
      <c r="S50" s="58"/>
      <c r="T50" s="58"/>
    </row>
    <row r="51" spans="1:20" ht="12.75">
      <c r="A51" s="58"/>
      <c r="B51" s="2"/>
      <c r="C51" s="280">
        <f>C48</f>
        <v>0</v>
      </c>
      <c r="D51" s="279" t="e">
        <f>C19</f>
        <v>#N/A</v>
      </c>
      <c r="E51" s="58"/>
      <c r="F51" s="58"/>
      <c r="G51" s="58"/>
      <c r="H51" s="267" t="str">
        <f>B18</f>
        <v>Waste</v>
      </c>
      <c r="I51" s="282">
        <f>C18</f>
        <v>0</v>
      </c>
      <c r="J51" s="279">
        <f>E18</f>
        <v>0</v>
      </c>
      <c r="K51" s="58"/>
      <c r="L51" s="295"/>
      <c r="M51" s="294"/>
      <c r="N51" s="58"/>
      <c r="O51" s="58"/>
      <c r="P51" s="58"/>
      <c r="Q51" s="58"/>
      <c r="R51" s="58"/>
      <c r="S51" s="58"/>
      <c r="T51" s="58"/>
    </row>
    <row r="52" spans="1:20" ht="12.75">
      <c r="A52" s="58"/>
      <c r="B52" s="2"/>
      <c r="C52" s="278">
        <f>C8</f>
        <v>0</v>
      </c>
      <c r="D52" s="279" t="e">
        <f>C19</f>
        <v>#N/A</v>
      </c>
      <c r="E52" s="58"/>
      <c r="F52" s="58"/>
      <c r="G52" s="58"/>
      <c r="H52" s="58"/>
      <c r="I52" s="58"/>
      <c r="J52" s="58"/>
      <c r="K52" s="58"/>
      <c r="L52" s="285"/>
      <c r="M52" s="294"/>
      <c r="N52" s="58"/>
      <c r="O52" s="58"/>
      <c r="P52" s="58"/>
      <c r="Q52" s="58"/>
      <c r="R52" s="58"/>
      <c r="S52" s="58"/>
      <c r="T52" s="58"/>
    </row>
    <row r="53" spans="1:20" ht="12.75">
      <c r="A53" s="58"/>
      <c r="B53" s="303" t="str">
        <f>TEXT(C9,"0%")&amp;" Reduction"</f>
        <v>0% Reduction</v>
      </c>
      <c r="C53" s="278">
        <f>C7</f>
        <v>0</v>
      </c>
      <c r="D53" s="279" t="e">
        <f>C19</f>
        <v>#N/A</v>
      </c>
      <c r="E53" s="58"/>
      <c r="F53" s="58"/>
      <c r="G53" s="58"/>
      <c r="H53" s="58"/>
      <c r="I53" s="58"/>
      <c r="J53" s="58"/>
      <c r="K53" s="58"/>
      <c r="L53" s="285"/>
      <c r="M53" s="294"/>
      <c r="N53" s="58"/>
      <c r="O53" s="58"/>
      <c r="P53" s="58"/>
      <c r="Q53" s="58"/>
      <c r="R53" s="58"/>
      <c r="S53" s="58"/>
      <c r="T53" s="58"/>
    </row>
    <row r="54" spans="1:20" ht="12.75">
      <c r="A54" s="58"/>
      <c r="B54" s="2"/>
      <c r="C54" s="280">
        <f>C48</f>
        <v>0</v>
      </c>
      <c r="D54" s="279" t="e">
        <f>C19*(1-C9*0.5)</f>
        <v>#N/A</v>
      </c>
      <c r="E54" s="58"/>
      <c r="F54" s="58"/>
      <c r="G54" s="58"/>
      <c r="H54" s="58"/>
      <c r="I54" s="58"/>
      <c r="J54" s="58"/>
      <c r="K54" s="58"/>
      <c r="L54" s="295"/>
      <c r="M54" s="294"/>
      <c r="N54" s="58"/>
      <c r="O54" s="58"/>
      <c r="P54" s="58"/>
      <c r="Q54" s="58"/>
      <c r="R54" s="58"/>
      <c r="S54" s="58"/>
      <c r="T54" s="58"/>
    </row>
    <row r="55" spans="1:20" ht="12.75">
      <c r="A55" s="58"/>
      <c r="B55" s="2"/>
      <c r="C55" s="278">
        <f>C8</f>
        <v>0</v>
      </c>
      <c r="D55" s="279" t="e">
        <f>D53*(1-C9)</f>
        <v>#N/A</v>
      </c>
      <c r="E55" s="58"/>
      <c r="F55" s="58"/>
      <c r="G55" s="58"/>
      <c r="H55" s="58"/>
      <c r="I55" s="58"/>
      <c r="J55" s="58"/>
      <c r="K55" s="58"/>
      <c r="L55" s="285"/>
      <c r="M55" s="294"/>
      <c r="N55" s="58"/>
      <c r="O55" s="58"/>
      <c r="P55" s="58"/>
      <c r="Q55" s="58"/>
      <c r="R55" s="58"/>
      <c r="S55" s="58"/>
      <c r="T55" s="58"/>
    </row>
    <row r="56" spans="1:20" ht="12.75">
      <c r="A56" s="58"/>
      <c r="B56" s="58"/>
      <c r="C56" s="58"/>
      <c r="D56" s="58"/>
      <c r="E56" s="58"/>
      <c r="F56" s="58"/>
      <c r="G56" s="58"/>
      <c r="H56" s="58"/>
      <c r="I56" s="58"/>
      <c r="J56" s="58"/>
      <c r="K56" s="58"/>
      <c r="L56" s="58"/>
      <c r="M56" s="58"/>
      <c r="N56" s="58"/>
      <c r="O56" s="58"/>
      <c r="P56" s="58"/>
      <c r="Q56" s="58"/>
      <c r="R56" s="58"/>
      <c r="S56" s="58"/>
      <c r="T56" s="58"/>
    </row>
    <row r="57" spans="1:20" ht="12.75">
      <c r="A57" s="58"/>
      <c r="B57" s="58"/>
      <c r="C57" s="58"/>
      <c r="D57" s="58"/>
      <c r="E57" s="58"/>
      <c r="F57" s="58"/>
      <c r="G57" s="58"/>
      <c r="H57" s="58"/>
      <c r="I57" s="58"/>
      <c r="J57" s="58"/>
      <c r="K57" s="58"/>
      <c r="L57" s="58"/>
      <c r="M57" s="58"/>
      <c r="N57" s="58"/>
      <c r="O57" s="58"/>
      <c r="P57" s="58"/>
      <c r="Q57" s="58"/>
      <c r="R57" s="58"/>
      <c r="S57" s="58"/>
      <c r="T57" s="58"/>
    </row>
    <row r="58" spans="1:20" ht="12.75">
      <c r="A58" s="58"/>
      <c r="B58" s="58"/>
      <c r="C58" s="58"/>
      <c r="D58" s="58"/>
      <c r="E58" s="58"/>
      <c r="F58" s="58"/>
      <c r="G58" s="58"/>
      <c r="H58" s="58"/>
      <c r="I58" s="58"/>
      <c r="J58" s="58"/>
      <c r="K58" s="58"/>
      <c r="L58" s="58"/>
      <c r="M58" s="58"/>
      <c r="N58" s="58"/>
      <c r="O58" s="58"/>
      <c r="P58" s="58"/>
      <c r="Q58" s="58"/>
      <c r="R58" s="58"/>
      <c r="S58" s="58"/>
      <c r="T58" s="58"/>
    </row>
    <row r="59" spans="1:20" ht="12.75">
      <c r="A59" s="58"/>
      <c r="B59" s="58"/>
      <c r="C59" s="58"/>
      <c r="D59" s="58"/>
      <c r="E59" s="58"/>
      <c r="F59" s="58"/>
      <c r="G59" s="58"/>
      <c r="H59" s="58"/>
      <c r="I59" s="58"/>
      <c r="J59" s="58"/>
      <c r="K59" s="58"/>
      <c r="L59" s="58"/>
      <c r="M59" s="58"/>
      <c r="N59" s="58"/>
      <c r="O59" s="58"/>
      <c r="P59" s="58"/>
      <c r="Q59" s="58"/>
      <c r="R59" s="58"/>
      <c r="S59" s="58"/>
      <c r="T59" s="58"/>
    </row>
    <row r="60" spans="1:20" ht="12.75">
      <c r="A60" s="58"/>
      <c r="B60" s="58"/>
      <c r="C60" s="58"/>
      <c r="D60" s="58"/>
      <c r="E60" s="58"/>
      <c r="F60" s="58"/>
      <c r="G60" s="58"/>
      <c r="H60" s="58"/>
      <c r="I60" s="58"/>
      <c r="J60" s="58"/>
      <c r="K60" s="58"/>
      <c r="L60" s="58"/>
      <c r="M60" s="58"/>
      <c r="N60" s="58"/>
      <c r="O60" s="58"/>
      <c r="P60" s="58"/>
      <c r="Q60" s="58"/>
      <c r="R60" s="58"/>
      <c r="S60" s="58"/>
      <c r="T60" s="58"/>
    </row>
    <row r="61" spans="1:20" ht="12.75">
      <c r="A61" s="58"/>
      <c r="B61" s="58"/>
      <c r="C61" s="58"/>
      <c r="D61" s="58"/>
      <c r="E61" s="58"/>
      <c r="F61" s="58"/>
      <c r="G61" s="58"/>
      <c r="H61" s="58"/>
      <c r="I61" s="58"/>
      <c r="J61" s="58"/>
      <c r="K61" s="58"/>
      <c r="L61" s="58"/>
      <c r="M61" s="58"/>
      <c r="N61" s="58"/>
      <c r="O61" s="58"/>
      <c r="P61" s="58"/>
      <c r="Q61" s="58"/>
      <c r="R61" s="58"/>
      <c r="S61" s="58"/>
      <c r="T61" s="58"/>
    </row>
    <row r="62" spans="1:20" ht="12.75">
      <c r="A62" s="58"/>
      <c r="B62" s="58"/>
      <c r="C62" s="58"/>
      <c r="D62" s="58"/>
      <c r="E62" s="58"/>
      <c r="F62" s="58"/>
      <c r="G62" s="58"/>
      <c r="H62" s="58"/>
      <c r="I62" s="58"/>
      <c r="J62" s="58"/>
      <c r="K62" s="58"/>
      <c r="L62" s="58"/>
      <c r="M62" s="58"/>
      <c r="N62" s="58"/>
      <c r="O62" s="58"/>
      <c r="P62" s="58"/>
      <c r="Q62" s="58"/>
      <c r="R62" s="58"/>
      <c r="S62" s="58"/>
      <c r="T62" s="58"/>
    </row>
    <row r="63" spans="1:20" ht="12.75">
      <c r="A63" s="58"/>
      <c r="B63" s="58"/>
      <c r="C63" s="58"/>
      <c r="D63" s="58"/>
      <c r="E63" s="58"/>
      <c r="F63" s="58"/>
      <c r="G63" s="58"/>
      <c r="H63" s="58"/>
      <c r="I63" s="58"/>
      <c r="J63" s="58"/>
      <c r="K63" s="58"/>
      <c r="L63" s="58"/>
      <c r="M63" s="58"/>
      <c r="N63" s="58"/>
      <c r="O63" s="58"/>
      <c r="P63" s="58"/>
      <c r="Q63" s="58"/>
      <c r="R63" s="58"/>
      <c r="S63" s="58"/>
      <c r="T63" s="58"/>
    </row>
    <row r="64" spans="1:20" ht="12.75">
      <c r="A64" s="58"/>
      <c r="B64" s="58"/>
      <c r="C64" s="58"/>
      <c r="D64" s="58"/>
      <c r="E64" s="58"/>
      <c r="F64" s="58"/>
      <c r="G64" s="58"/>
      <c r="H64" s="58"/>
      <c r="I64" s="58"/>
      <c r="J64" s="58"/>
      <c r="K64" s="58"/>
      <c r="L64" s="58"/>
      <c r="M64" s="58"/>
      <c r="N64" s="58"/>
      <c r="O64" s="58"/>
      <c r="P64" s="58"/>
      <c r="Q64" s="58"/>
      <c r="R64" s="58"/>
      <c r="S64" s="58"/>
      <c r="T64" s="58"/>
    </row>
    <row r="65" spans="1:20" ht="12.75">
      <c r="A65" s="58"/>
      <c r="B65" s="58"/>
      <c r="C65" s="58"/>
      <c r="D65" s="58"/>
      <c r="E65" s="58"/>
      <c r="F65" s="58"/>
      <c r="G65" s="58"/>
      <c r="H65" s="58"/>
      <c r="I65" s="58"/>
      <c r="J65" s="58"/>
      <c r="K65" s="58"/>
      <c r="L65" s="58"/>
      <c r="M65" s="58"/>
      <c r="N65" s="58"/>
      <c r="O65" s="58"/>
      <c r="P65" s="58"/>
      <c r="Q65" s="58"/>
      <c r="R65" s="58"/>
      <c r="S65" s="58"/>
      <c r="T65" s="58"/>
    </row>
  </sheetData>
  <sheetProtection/>
  <mergeCells count="10">
    <mergeCell ref="F18:G18"/>
    <mergeCell ref="I15:L17"/>
    <mergeCell ref="B2:F2"/>
    <mergeCell ref="F13:G13"/>
    <mergeCell ref="F14:G14"/>
    <mergeCell ref="I13:L13"/>
    <mergeCell ref="I14:L14"/>
    <mergeCell ref="F15:G15"/>
    <mergeCell ref="F16:G16"/>
    <mergeCell ref="F17:G17"/>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2">
    <tabColor rgb="FF002060"/>
  </sheetPr>
  <dimension ref="A1:R34"/>
  <sheetViews>
    <sheetView zoomScalePageLayoutView="0" workbookViewId="0" topLeftCell="A4">
      <selection activeCell="D17" sqref="D17"/>
    </sheetView>
  </sheetViews>
  <sheetFormatPr defaultColWidth="9.33203125" defaultRowHeight="12.75"/>
  <cols>
    <col min="1" max="1" width="28" style="0" customWidth="1"/>
    <col min="2" max="2" width="15.33203125" style="0" customWidth="1"/>
    <col min="3" max="3" width="17.33203125" style="0" customWidth="1"/>
    <col min="4" max="5" width="16.5" style="0" customWidth="1"/>
    <col min="6" max="6" width="15.83203125" style="0" customWidth="1"/>
    <col min="7" max="7" width="16.16015625" style="0" customWidth="1"/>
    <col min="8" max="10" width="9.5" style="0" hidden="1" customWidth="1"/>
    <col min="11" max="12" width="9.83203125" style="0" hidden="1" customWidth="1"/>
    <col min="14" max="14" width="11.5" style="0" bestFit="1" customWidth="1"/>
    <col min="15" max="15" width="10.66015625" style="0" customWidth="1"/>
    <col min="18" max="18" width="14.16015625" style="0" customWidth="1"/>
  </cols>
  <sheetData>
    <row r="1" spans="1:18" ht="14.25">
      <c r="A1" s="48" t="s">
        <v>184</v>
      </c>
      <c r="R1" s="128" t="s">
        <v>188</v>
      </c>
    </row>
    <row r="2" spans="1:18" ht="15.75">
      <c r="A2" s="49" t="s">
        <v>20</v>
      </c>
      <c r="B2" s="49" t="s">
        <v>21</v>
      </c>
      <c r="C2" s="93" t="s">
        <v>22</v>
      </c>
      <c r="D2" s="100" t="s">
        <v>192</v>
      </c>
      <c r="E2" s="102" t="s">
        <v>191</v>
      </c>
      <c r="F2" s="102" t="s">
        <v>1</v>
      </c>
      <c r="G2" s="102" t="s">
        <v>2</v>
      </c>
      <c r="H2" s="102" t="s">
        <v>3</v>
      </c>
      <c r="I2" s="102" t="s">
        <v>4</v>
      </c>
      <c r="J2" s="102" t="s">
        <v>5</v>
      </c>
      <c r="K2" s="102" t="s">
        <v>6</v>
      </c>
      <c r="L2" s="102" t="s">
        <v>7</v>
      </c>
      <c r="M2" s="49"/>
      <c r="R2" s="128" t="s">
        <v>190</v>
      </c>
    </row>
    <row r="3" spans="1:18" ht="12.75">
      <c r="A3" s="49" t="s">
        <v>23</v>
      </c>
      <c r="B3" s="49" t="s">
        <v>24</v>
      </c>
      <c r="C3" s="93">
        <v>30.4</v>
      </c>
      <c r="D3" s="141">
        <v>1.7</v>
      </c>
      <c r="E3" s="102"/>
      <c r="F3" s="102">
        <v>0.00011</v>
      </c>
      <c r="G3" s="103">
        <v>1.5E-05</v>
      </c>
      <c r="H3" s="102">
        <v>0</v>
      </c>
      <c r="I3" s="102">
        <v>0</v>
      </c>
      <c r="J3" s="102">
        <v>0</v>
      </c>
      <c r="K3" s="102">
        <v>0</v>
      </c>
      <c r="L3" s="102">
        <v>0</v>
      </c>
      <c r="M3" s="49"/>
      <c r="Q3" s="86" t="s">
        <v>186</v>
      </c>
      <c r="R3" s="129">
        <v>1</v>
      </c>
    </row>
    <row r="4" spans="1:18" ht="12.75">
      <c r="A4" s="49" t="s">
        <v>25</v>
      </c>
      <c r="B4" s="49" t="s">
        <v>24</v>
      </c>
      <c r="C4" s="93">
        <v>30.4</v>
      </c>
      <c r="D4" s="141">
        <v>1.7</v>
      </c>
      <c r="E4" s="102"/>
      <c r="F4" s="102">
        <v>0.00011</v>
      </c>
      <c r="G4" s="103">
        <v>1.5E-05</v>
      </c>
      <c r="H4" s="102">
        <v>0</v>
      </c>
      <c r="I4" s="102">
        <v>0</v>
      </c>
      <c r="J4" s="102">
        <v>0</v>
      </c>
      <c r="K4" s="102">
        <v>0</v>
      </c>
      <c r="L4" s="102">
        <v>0</v>
      </c>
      <c r="M4" s="49"/>
      <c r="Q4" s="86" t="s">
        <v>185</v>
      </c>
      <c r="R4" s="129">
        <v>21</v>
      </c>
    </row>
    <row r="5" spans="1:18" ht="12.75">
      <c r="A5" s="49" t="s">
        <v>26</v>
      </c>
      <c r="B5" s="49" t="s">
        <v>312</v>
      </c>
      <c r="C5" s="93">
        <v>0.007612</v>
      </c>
      <c r="D5" s="146">
        <f>E5+cngn2o*N2O_GWP+cngch4*CH4_GWP</f>
        <v>0.0030222404624555173</v>
      </c>
      <c r="E5" s="168">
        <f>0.00189/0.6937</f>
        <v>0.00272452068617558</v>
      </c>
      <c r="F5" s="103">
        <f>0.00000006/0.6973</f>
        <v>8.604617811558868E-08</v>
      </c>
      <c r="G5" s="103">
        <f>0.000009/0.6973</f>
        <v>1.2906926717338304E-05</v>
      </c>
      <c r="H5" s="102">
        <v>0</v>
      </c>
      <c r="I5" s="102">
        <v>0</v>
      </c>
      <c r="J5" s="102">
        <v>0</v>
      </c>
      <c r="K5" s="102">
        <v>0</v>
      </c>
      <c r="L5" s="102">
        <v>0</v>
      </c>
      <c r="M5" s="49"/>
      <c r="O5" s="169"/>
      <c r="Q5" s="86" t="s">
        <v>187</v>
      </c>
      <c r="R5" s="129">
        <v>310</v>
      </c>
    </row>
    <row r="6" spans="1:18" ht="12.75">
      <c r="A6" s="49" t="s">
        <v>28</v>
      </c>
      <c r="B6" s="49" t="s">
        <v>24</v>
      </c>
      <c r="C6" s="93">
        <v>27.7</v>
      </c>
      <c r="D6" s="141">
        <v>2.39</v>
      </c>
      <c r="E6" s="102"/>
      <c r="F6" s="102">
        <v>0.00011</v>
      </c>
      <c r="G6" s="103">
        <v>1.5E-05</v>
      </c>
      <c r="H6" s="102">
        <v>0</v>
      </c>
      <c r="I6" s="102">
        <v>0</v>
      </c>
      <c r="J6" s="102">
        <v>0</v>
      </c>
      <c r="K6" s="102">
        <v>0</v>
      </c>
      <c r="L6" s="102">
        <v>0</v>
      </c>
      <c r="M6" s="49"/>
      <c r="Q6" s="86" t="s">
        <v>189</v>
      </c>
      <c r="R6" s="129">
        <v>23900</v>
      </c>
    </row>
    <row r="7" spans="1:13" ht="12.75">
      <c r="A7" s="49" t="s">
        <v>29</v>
      </c>
      <c r="B7" s="49" t="s">
        <v>24</v>
      </c>
      <c r="C7" s="93">
        <v>27.7</v>
      </c>
      <c r="D7" s="141">
        <v>2.765488</v>
      </c>
      <c r="E7" s="102"/>
      <c r="F7" s="102">
        <v>0.000120688</v>
      </c>
      <c r="G7" s="103">
        <v>1.64616E-05</v>
      </c>
      <c r="H7" s="102">
        <v>0</v>
      </c>
      <c r="I7" s="102">
        <v>0</v>
      </c>
      <c r="J7" s="102">
        <v>0</v>
      </c>
      <c r="K7" s="102">
        <v>0</v>
      </c>
      <c r="L7" s="102">
        <v>0</v>
      </c>
      <c r="M7" s="49"/>
    </row>
    <row r="8" spans="1:13" ht="12.75">
      <c r="A8" s="49" t="s">
        <v>30</v>
      </c>
      <c r="B8" s="49" t="s">
        <v>24</v>
      </c>
      <c r="C8" s="93">
        <v>15</v>
      </c>
      <c r="D8" s="141">
        <v>1.49</v>
      </c>
      <c r="E8" s="102"/>
      <c r="F8" s="102">
        <v>0.00011</v>
      </c>
      <c r="G8" s="103">
        <v>1.5E-05</v>
      </c>
      <c r="H8" s="102">
        <v>0</v>
      </c>
      <c r="I8" s="102">
        <v>0</v>
      </c>
      <c r="J8" s="102">
        <v>0</v>
      </c>
      <c r="K8" s="102">
        <v>0</v>
      </c>
      <c r="L8" s="102">
        <v>0</v>
      </c>
      <c r="M8" s="49"/>
    </row>
    <row r="9" spans="1:13" ht="12.75">
      <c r="A9" s="49" t="s">
        <v>31</v>
      </c>
      <c r="B9" s="49" t="s">
        <v>24</v>
      </c>
      <c r="C9" s="93">
        <v>18.3</v>
      </c>
      <c r="D9" s="141">
        <v>1.74</v>
      </c>
      <c r="E9" s="102"/>
      <c r="F9" s="102">
        <v>0.00011</v>
      </c>
      <c r="G9" s="103">
        <v>1.5E-05</v>
      </c>
      <c r="H9" s="102">
        <v>0</v>
      </c>
      <c r="I9" s="102">
        <v>0</v>
      </c>
      <c r="J9" s="102">
        <v>0</v>
      </c>
      <c r="K9" s="102">
        <v>0</v>
      </c>
      <c r="L9" s="102">
        <v>0</v>
      </c>
      <c r="M9" s="49"/>
    </row>
    <row r="10" spans="1:13" ht="12.75">
      <c r="A10" s="49" t="s">
        <v>32</v>
      </c>
      <c r="B10" s="49" t="s">
        <v>24</v>
      </c>
      <c r="C10" s="93">
        <v>29</v>
      </c>
      <c r="D10" s="141">
        <v>2.46</v>
      </c>
      <c r="E10" s="102"/>
      <c r="F10" s="102">
        <v>0.00011</v>
      </c>
      <c r="G10" s="103">
        <v>1.5E-05</v>
      </c>
      <c r="H10" s="102">
        <v>0</v>
      </c>
      <c r="I10" s="102">
        <v>0</v>
      </c>
      <c r="J10" s="102">
        <v>0</v>
      </c>
      <c r="K10" s="102">
        <v>0</v>
      </c>
      <c r="L10" s="102">
        <v>0</v>
      </c>
      <c r="M10" s="49"/>
    </row>
    <row r="11" spans="1:15" ht="12.75">
      <c r="A11" s="49" t="s">
        <v>33</v>
      </c>
      <c r="B11" s="49" t="s">
        <v>24</v>
      </c>
      <c r="C11" s="93">
        <v>28.83</v>
      </c>
      <c r="D11" s="141">
        <v>2.48</v>
      </c>
      <c r="E11" s="102"/>
      <c r="F11" s="102">
        <v>0.00011</v>
      </c>
      <c r="G11" s="103">
        <v>1.5E-05</v>
      </c>
      <c r="H11" s="102">
        <v>0</v>
      </c>
      <c r="I11" s="102">
        <v>0</v>
      </c>
      <c r="J11" s="102">
        <v>0</v>
      </c>
      <c r="K11" s="102">
        <v>0</v>
      </c>
      <c r="L11" s="102">
        <v>0</v>
      </c>
      <c r="M11" s="49"/>
      <c r="N11" s="97"/>
      <c r="O11" s="97"/>
    </row>
    <row r="12" spans="1:15" ht="12.75">
      <c r="A12" s="49" t="s">
        <v>181</v>
      </c>
      <c r="B12" s="49" t="s">
        <v>27</v>
      </c>
      <c r="C12" s="93">
        <v>0.03868</v>
      </c>
      <c r="D12" s="146">
        <f>E12+(dieseln2o*N2O_GWP)+(dieselch4*CH4_GWP)</f>
        <v>0.002732271</v>
      </c>
      <c r="E12" s="102">
        <v>0.002663</v>
      </c>
      <c r="F12" s="103">
        <v>2.2E-07</v>
      </c>
      <c r="G12" s="103">
        <v>5.1E-08</v>
      </c>
      <c r="H12" s="102">
        <v>0</v>
      </c>
      <c r="I12" s="102">
        <v>0</v>
      </c>
      <c r="J12" s="102">
        <v>0</v>
      </c>
      <c r="K12" s="102">
        <v>0</v>
      </c>
      <c r="L12" s="102">
        <v>0</v>
      </c>
      <c r="M12" s="49"/>
      <c r="N12" s="383"/>
      <c r="O12" s="97"/>
    </row>
    <row r="13" spans="1:15" ht="12.75">
      <c r="A13" s="49" t="s">
        <v>35</v>
      </c>
      <c r="B13" s="49" t="s">
        <v>36</v>
      </c>
      <c r="C13" s="93">
        <v>1</v>
      </c>
      <c r="D13" s="156">
        <v>0.05847</v>
      </c>
      <c r="E13" s="102"/>
      <c r="F13" s="102">
        <v>0</v>
      </c>
      <c r="G13" s="102">
        <v>0</v>
      </c>
      <c r="H13" s="102">
        <v>0</v>
      </c>
      <c r="I13" s="102">
        <v>0</v>
      </c>
      <c r="J13" s="102">
        <v>0</v>
      </c>
      <c r="K13" s="102">
        <v>0</v>
      </c>
      <c r="L13" s="102">
        <v>0</v>
      </c>
      <c r="M13" s="49"/>
      <c r="N13" s="97"/>
      <c r="O13" s="97"/>
    </row>
    <row r="14" spans="1:15" ht="12.75">
      <c r="A14" s="49" t="s">
        <v>37</v>
      </c>
      <c r="B14" s="49" t="s">
        <v>38</v>
      </c>
      <c r="C14" s="93">
        <v>3.6</v>
      </c>
      <c r="D14" s="356">
        <v>0.19</v>
      </c>
      <c r="E14" s="102">
        <v>0.18</v>
      </c>
      <c r="F14" s="103">
        <v>4E-06</v>
      </c>
      <c r="G14" s="103">
        <v>1E-05</v>
      </c>
      <c r="H14" s="102"/>
      <c r="I14" s="102"/>
      <c r="J14" s="102"/>
      <c r="K14" s="103"/>
      <c r="L14" s="103"/>
      <c r="M14" s="49"/>
      <c r="N14" s="97"/>
      <c r="O14" s="97"/>
    </row>
    <row r="15" spans="1:15" ht="12.75">
      <c r="A15" s="49" t="s">
        <v>218</v>
      </c>
      <c r="B15" s="49" t="s">
        <v>27</v>
      </c>
      <c r="C15" s="93">
        <v>0.03244</v>
      </c>
      <c r="D15" s="146">
        <f>gasco2*0.9</f>
        <v>0.0021955769999999998</v>
      </c>
      <c r="E15" s="102"/>
      <c r="F15" s="103">
        <v>8.5E-07</v>
      </c>
      <c r="G15" s="102">
        <v>0</v>
      </c>
      <c r="H15" s="102">
        <v>0</v>
      </c>
      <c r="I15" s="102">
        <v>0</v>
      </c>
      <c r="J15" s="102">
        <v>0</v>
      </c>
      <c r="K15" s="102">
        <v>0</v>
      </c>
      <c r="L15" s="102">
        <v>0</v>
      </c>
      <c r="M15" s="49"/>
      <c r="N15" s="384"/>
      <c r="O15" s="97"/>
    </row>
    <row r="16" spans="1:14" ht="12.75">
      <c r="A16" s="49" t="s">
        <v>39</v>
      </c>
      <c r="B16" s="49" t="s">
        <v>27</v>
      </c>
      <c r="C16" s="93">
        <v>0.03868</v>
      </c>
      <c r="D16" s="146">
        <f>E16+(fueloiln2o*N2O_GWP)+(fueloilch4*CH4_GWP)</f>
        <v>0.0027351560000000003</v>
      </c>
      <c r="E16" s="102">
        <v>0.002725</v>
      </c>
      <c r="F16" s="103">
        <v>3.1E-08</v>
      </c>
      <c r="G16" s="103">
        <v>2.6E-08</v>
      </c>
      <c r="H16" s="102">
        <v>0</v>
      </c>
      <c r="I16" s="102">
        <v>0</v>
      </c>
      <c r="J16" s="102">
        <v>0</v>
      </c>
      <c r="K16" s="102">
        <v>0</v>
      </c>
      <c r="L16" s="102">
        <v>0</v>
      </c>
      <c r="M16" s="49"/>
      <c r="N16" s="129"/>
    </row>
    <row r="17" spans="1:14" ht="12.75">
      <c r="A17" s="49" t="s">
        <v>182</v>
      </c>
      <c r="B17" s="49" t="s">
        <v>27</v>
      </c>
      <c r="C17" s="93">
        <v>0.03466</v>
      </c>
      <c r="D17" s="146">
        <f>E17+test*N2O_GWP+gasch4*CH4_GWP</f>
        <v>0.0024395299999999997</v>
      </c>
      <c r="E17" s="102">
        <v>0.002289</v>
      </c>
      <c r="F17" s="103">
        <v>4.7E-07</v>
      </c>
      <c r="G17" s="103">
        <v>2.3E-07</v>
      </c>
      <c r="H17" s="102">
        <v>0</v>
      </c>
      <c r="I17" s="102">
        <v>0</v>
      </c>
      <c r="J17" s="102">
        <v>0</v>
      </c>
      <c r="K17" s="102">
        <v>0</v>
      </c>
      <c r="L17" s="102">
        <v>0</v>
      </c>
      <c r="M17" s="49"/>
      <c r="N17" s="129"/>
    </row>
    <row r="18" spans="1:13" ht="12.75">
      <c r="A18" s="49" t="s">
        <v>41</v>
      </c>
      <c r="B18" s="49" t="s">
        <v>27</v>
      </c>
      <c r="C18" s="93">
        <v>0.04173</v>
      </c>
      <c r="D18" s="146">
        <f>E18+(F18*N2O_GWP)+(G18*CH4_GWP)</f>
        <v>0.0031450370000000003</v>
      </c>
      <c r="E18" s="102">
        <v>0.003124</v>
      </c>
      <c r="F18" s="103">
        <v>6.4E-08</v>
      </c>
      <c r="G18" s="103">
        <v>5.7E-08</v>
      </c>
      <c r="H18" s="102">
        <v>0</v>
      </c>
      <c r="I18" s="102">
        <v>0</v>
      </c>
      <c r="J18" s="102">
        <v>0</v>
      </c>
      <c r="K18" s="102">
        <v>0</v>
      </c>
      <c r="L18" s="102">
        <v>0</v>
      </c>
      <c r="M18" s="49"/>
    </row>
    <row r="19" spans="1:13" ht="12.75">
      <c r="A19" s="49" t="s">
        <v>42</v>
      </c>
      <c r="B19" s="49" t="s">
        <v>27</v>
      </c>
      <c r="C19" s="93">
        <v>0.03768</v>
      </c>
      <c r="D19" s="146">
        <f>E19+(F19*N2O_GWP)+(G19*CH4_GWP)</f>
        <v>0.002544156</v>
      </c>
      <c r="E19" s="102">
        <v>0.002534</v>
      </c>
      <c r="F19" s="103">
        <v>3.1E-08</v>
      </c>
      <c r="G19" s="103">
        <v>2.6E-08</v>
      </c>
      <c r="H19" s="102">
        <v>0</v>
      </c>
      <c r="I19" s="102">
        <v>0</v>
      </c>
      <c r="J19" s="102">
        <v>0</v>
      </c>
      <c r="K19" s="102">
        <v>0</v>
      </c>
      <c r="L19" s="102">
        <v>0</v>
      </c>
      <c r="M19" s="49"/>
    </row>
    <row r="20" spans="1:13" ht="12.75">
      <c r="A20" s="49" t="s">
        <v>43</v>
      </c>
      <c r="B20" s="49" t="s">
        <v>36</v>
      </c>
      <c r="C20" s="93">
        <v>0.999955453332677</v>
      </c>
      <c r="D20" s="141">
        <v>0</v>
      </c>
      <c r="E20" s="102"/>
      <c r="F20" s="102">
        <v>0</v>
      </c>
      <c r="G20" s="102">
        <v>0</v>
      </c>
      <c r="H20" s="102">
        <v>0</v>
      </c>
      <c r="I20" s="102">
        <v>0</v>
      </c>
      <c r="J20" s="102">
        <v>0</v>
      </c>
      <c r="K20" s="102">
        <v>0</v>
      </c>
      <c r="L20" s="102">
        <v>0</v>
      </c>
      <c r="M20" s="49"/>
    </row>
    <row r="21" spans="1:13" ht="12.75">
      <c r="A21" s="49" t="s">
        <v>44</v>
      </c>
      <c r="B21" s="49" t="s">
        <v>36</v>
      </c>
      <c r="C21" s="93">
        <v>1</v>
      </c>
      <c r="D21" s="141">
        <v>0</v>
      </c>
      <c r="E21" s="102"/>
      <c r="F21" s="102">
        <v>0</v>
      </c>
      <c r="G21" s="102">
        <v>0</v>
      </c>
      <c r="H21" s="102">
        <v>0</v>
      </c>
      <c r="I21" s="102">
        <v>0</v>
      </c>
      <c r="J21" s="102">
        <v>0</v>
      </c>
      <c r="K21" s="102">
        <v>0</v>
      </c>
      <c r="L21" s="102">
        <v>0</v>
      </c>
      <c r="M21" s="49"/>
    </row>
    <row r="22" spans="1:13" ht="12.75">
      <c r="A22" s="49" t="s">
        <v>45</v>
      </c>
      <c r="B22" s="49" t="s">
        <v>36</v>
      </c>
      <c r="C22" s="93">
        <v>1</v>
      </c>
      <c r="D22" s="141">
        <v>0</v>
      </c>
      <c r="E22" s="102"/>
      <c r="F22" s="102">
        <v>0</v>
      </c>
      <c r="G22" s="102">
        <v>0</v>
      </c>
      <c r="H22" s="102">
        <v>0</v>
      </c>
      <c r="I22" s="102">
        <v>0</v>
      </c>
      <c r="J22" s="102">
        <v>0</v>
      </c>
      <c r="K22" s="102">
        <v>0</v>
      </c>
      <c r="L22" s="102">
        <v>0</v>
      </c>
      <c r="M22" s="49"/>
    </row>
    <row r="23" spans="1:13" ht="12.75">
      <c r="A23" s="49" t="s">
        <v>46</v>
      </c>
      <c r="B23" s="49" t="s">
        <v>24</v>
      </c>
      <c r="C23" s="93">
        <v>30.4</v>
      </c>
      <c r="D23" s="141">
        <v>2.52</v>
      </c>
      <c r="E23" s="102"/>
      <c r="F23" s="102">
        <v>0.00011</v>
      </c>
      <c r="G23" s="103">
        <v>1.5E-05</v>
      </c>
      <c r="H23" s="102">
        <v>0</v>
      </c>
      <c r="I23" s="102">
        <v>0</v>
      </c>
      <c r="J23" s="102">
        <v>0</v>
      </c>
      <c r="K23" s="102">
        <v>0</v>
      </c>
      <c r="L23" s="102">
        <v>0</v>
      </c>
      <c r="M23" s="49"/>
    </row>
    <row r="24" spans="1:13" ht="12.75">
      <c r="A24" s="49" t="s">
        <v>47</v>
      </c>
      <c r="B24" s="49" t="s">
        <v>24</v>
      </c>
      <c r="C24" s="93">
        <v>27</v>
      </c>
      <c r="D24" s="141">
        <v>2.23</v>
      </c>
      <c r="E24" s="102"/>
      <c r="F24" s="102">
        <v>0.00011</v>
      </c>
      <c r="G24" s="103">
        <v>1.5E-05</v>
      </c>
      <c r="H24" s="102">
        <v>0</v>
      </c>
      <c r="I24" s="102">
        <v>0</v>
      </c>
      <c r="J24" s="102">
        <v>0</v>
      </c>
      <c r="K24" s="102">
        <v>0</v>
      </c>
      <c r="L24" s="102">
        <v>0</v>
      </c>
      <c r="M24" s="49"/>
    </row>
    <row r="25" spans="1:13" ht="12.75">
      <c r="A25" s="49" t="s">
        <v>48</v>
      </c>
      <c r="B25" s="49" t="s">
        <v>24</v>
      </c>
      <c r="C25" s="93">
        <v>28.5</v>
      </c>
      <c r="D25" s="141">
        <v>2.3</v>
      </c>
      <c r="E25" s="102"/>
      <c r="F25" s="102">
        <v>0.00011</v>
      </c>
      <c r="G25" s="103">
        <v>1.5E-05</v>
      </c>
      <c r="H25" s="102">
        <v>0</v>
      </c>
      <c r="I25" s="102">
        <v>0</v>
      </c>
      <c r="J25" s="102">
        <v>0</v>
      </c>
      <c r="K25" s="102">
        <v>0</v>
      </c>
      <c r="L25" s="102">
        <v>0</v>
      </c>
      <c r="M25" s="49"/>
    </row>
    <row r="26" spans="1:13" ht="12.75">
      <c r="A26" s="49" t="s">
        <v>49</v>
      </c>
      <c r="B26" s="49" t="s">
        <v>50</v>
      </c>
      <c r="C26" s="93">
        <v>0.03806</v>
      </c>
      <c r="D26" s="143">
        <v>0.001891</v>
      </c>
      <c r="E26" s="102"/>
      <c r="F26" s="103">
        <v>3.5E-08</v>
      </c>
      <c r="G26" s="103">
        <v>3.7E-08</v>
      </c>
      <c r="H26" s="102">
        <v>0</v>
      </c>
      <c r="I26" s="102">
        <v>0</v>
      </c>
      <c r="J26" s="102">
        <v>0</v>
      </c>
      <c r="K26" s="102">
        <v>0</v>
      </c>
      <c r="L26" s="102">
        <v>0</v>
      </c>
      <c r="M26" s="49"/>
    </row>
    <row r="27" spans="1:13" ht="12.75">
      <c r="A27" s="49" t="s">
        <v>51</v>
      </c>
      <c r="B27" s="49" t="s">
        <v>27</v>
      </c>
      <c r="C27" s="93">
        <v>0.02553</v>
      </c>
      <c r="D27" s="138">
        <f>E27+(propanen2o*N2O_GWP)+(propanech4*CH4_GWP)</f>
        <v>0.001544047</v>
      </c>
      <c r="E27" s="102">
        <f>0.00151</f>
        <v>0.00151</v>
      </c>
      <c r="F27" s="103">
        <v>1.08E-07</v>
      </c>
      <c r="G27" s="103">
        <v>2.7E-08</v>
      </c>
      <c r="H27" s="102">
        <v>0</v>
      </c>
      <c r="I27" s="102">
        <v>0</v>
      </c>
      <c r="J27" s="102">
        <v>0</v>
      </c>
      <c r="K27" s="102">
        <v>0</v>
      </c>
      <c r="L27" s="102">
        <v>0</v>
      </c>
      <c r="M27" s="49"/>
    </row>
    <row r="28" spans="1:13" ht="12.75">
      <c r="A28" s="49" t="s">
        <v>52</v>
      </c>
      <c r="B28" s="49" t="s">
        <v>36</v>
      </c>
      <c r="C28" s="93">
        <v>1</v>
      </c>
      <c r="D28" s="141">
        <v>0</v>
      </c>
      <c r="E28" s="102"/>
      <c r="F28" s="102">
        <v>0</v>
      </c>
      <c r="G28" s="102">
        <v>0</v>
      </c>
      <c r="H28" s="102">
        <v>0</v>
      </c>
      <c r="I28" s="102">
        <v>0</v>
      </c>
      <c r="J28" s="102">
        <v>0</v>
      </c>
      <c r="K28" s="102">
        <v>0</v>
      </c>
      <c r="L28" s="102">
        <v>0</v>
      </c>
      <c r="M28" s="49"/>
    </row>
    <row r="29" spans="1:13" ht="12.75">
      <c r="A29" s="49" t="s">
        <v>53</v>
      </c>
      <c r="B29" s="49" t="s">
        <v>54</v>
      </c>
      <c r="C29" s="93">
        <v>25</v>
      </c>
      <c r="D29" s="141">
        <v>0</v>
      </c>
      <c r="E29" s="102"/>
      <c r="F29" s="102">
        <v>0.22225</v>
      </c>
      <c r="G29" s="102">
        <v>0.00075</v>
      </c>
      <c r="H29" s="102">
        <v>0</v>
      </c>
      <c r="I29" s="102">
        <v>0</v>
      </c>
      <c r="J29" s="102">
        <v>0</v>
      </c>
      <c r="K29" s="102">
        <v>0</v>
      </c>
      <c r="L29" s="102">
        <v>0</v>
      </c>
      <c r="M29" s="49"/>
    </row>
    <row r="30" spans="1:13" ht="12.75">
      <c r="A30" s="49" t="s">
        <v>180</v>
      </c>
      <c r="B30" s="49" t="s">
        <v>27</v>
      </c>
      <c r="C30" s="93"/>
      <c r="D30" s="146">
        <f>E30+F30*N2O_GWP+G30*CH4_GWP</f>
        <v>0.002789793</v>
      </c>
      <c r="E30" s="102">
        <f>0.002663</f>
        <v>0.002663</v>
      </c>
      <c r="F30" s="103">
        <v>4E-07</v>
      </c>
      <c r="G30" s="103">
        <v>1.33E-07</v>
      </c>
      <c r="H30" s="102">
        <v>0</v>
      </c>
      <c r="I30" s="102">
        <v>0</v>
      </c>
      <c r="J30" s="102">
        <v>0</v>
      </c>
      <c r="K30" s="102">
        <v>0</v>
      </c>
      <c r="L30" s="102">
        <v>0</v>
      </c>
      <c r="M30" s="49"/>
    </row>
    <row r="31" spans="1:12" ht="12.75">
      <c r="A31" s="49" t="s">
        <v>215</v>
      </c>
      <c r="B31" s="49" t="s">
        <v>27</v>
      </c>
      <c r="C31" s="139"/>
      <c r="D31" s="146">
        <f>dieselco2*0.95</f>
        <v>0.00259565745</v>
      </c>
      <c r="E31" s="102"/>
      <c r="F31" s="140"/>
      <c r="G31" s="140"/>
      <c r="H31" s="140"/>
      <c r="I31" s="140"/>
      <c r="J31" s="140"/>
      <c r="K31" s="140"/>
      <c r="L31" s="140"/>
    </row>
    <row r="32" spans="1:12" ht="12.75">
      <c r="A32" s="49" t="s">
        <v>216</v>
      </c>
      <c r="B32" s="49" t="s">
        <v>27</v>
      </c>
      <c r="C32" s="139"/>
      <c r="D32" s="146">
        <f>dieselco2*0.9</f>
        <v>0.0024590439</v>
      </c>
      <c r="E32" s="102"/>
      <c r="F32" s="140"/>
      <c r="G32" s="140"/>
      <c r="H32" s="140"/>
      <c r="I32" s="140"/>
      <c r="J32" s="140"/>
      <c r="K32" s="140"/>
      <c r="L32" s="140"/>
    </row>
    <row r="33" spans="1:12" ht="12.75">
      <c r="A33" s="49" t="s">
        <v>217</v>
      </c>
      <c r="B33" s="49" t="s">
        <v>27</v>
      </c>
      <c r="C33" s="139"/>
      <c r="D33" s="146">
        <f>dieselco2*0.8</f>
        <v>0.0021858168</v>
      </c>
      <c r="E33" s="102"/>
      <c r="F33" s="140"/>
      <c r="G33" s="140"/>
      <c r="H33" s="140"/>
      <c r="I33" s="140"/>
      <c r="J33" s="140"/>
      <c r="K33" s="140"/>
      <c r="L33" s="140"/>
    </row>
    <row r="34" spans="1:12" ht="12.75">
      <c r="A34" s="49" t="s">
        <v>219</v>
      </c>
      <c r="B34" s="49" t="s">
        <v>27</v>
      </c>
      <c r="C34" s="139"/>
      <c r="D34" s="146">
        <f>gasco2*0.15</f>
        <v>0.0003659294999999999</v>
      </c>
      <c r="E34" s="102"/>
      <c r="F34" s="140"/>
      <c r="G34" s="140"/>
      <c r="H34" s="140"/>
      <c r="I34" s="140"/>
      <c r="J34" s="140"/>
      <c r="K34" s="140"/>
      <c r="L34" s="140"/>
    </row>
  </sheetData>
  <sheetProtection/>
  <printOptions/>
  <pageMargins left="0.75" right="0.75" top="1" bottom="1"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codeName="Sheet3">
    <tabColor rgb="FF002060"/>
    <pageSetUpPr fitToPage="1"/>
  </sheetPr>
  <dimension ref="A1:N15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O22" sqref="O22"/>
    </sheetView>
  </sheetViews>
  <sheetFormatPr defaultColWidth="9.33203125" defaultRowHeight="12.75"/>
  <cols>
    <col min="1" max="1" width="14.16015625" style="62" bestFit="1" customWidth="1"/>
    <col min="2" max="2" width="14.83203125" style="62" bestFit="1" customWidth="1"/>
    <col min="3" max="3" width="16" style="62" bestFit="1" customWidth="1"/>
    <col min="4" max="4" width="9.83203125" style="62" bestFit="1" customWidth="1"/>
    <col min="5" max="5" width="15.16015625" style="62" bestFit="1" customWidth="1"/>
    <col min="6" max="6" width="14.5" style="62" bestFit="1" customWidth="1"/>
    <col min="7" max="7" width="20.5" style="62" bestFit="1" customWidth="1"/>
    <col min="8" max="8" width="12" style="62" bestFit="1" customWidth="1"/>
    <col min="9" max="9" width="9" style="62" bestFit="1" customWidth="1"/>
    <col min="10" max="10" width="7.83203125" style="62" bestFit="1" customWidth="1"/>
    <col min="11" max="11" width="20.16015625" style="62" bestFit="1" customWidth="1"/>
    <col min="12" max="12" width="8.16015625" style="62" bestFit="1" customWidth="1"/>
    <col min="13" max="13" width="14" style="62" bestFit="1" customWidth="1"/>
    <col min="14" max="14" width="7.16015625" style="62" bestFit="1" customWidth="1"/>
    <col min="15" max="16384" width="9.33203125" style="62" customWidth="1"/>
  </cols>
  <sheetData>
    <row r="1" spans="1:2" ht="12.75">
      <c r="A1" s="62" t="s">
        <v>63</v>
      </c>
      <c r="B1" s="85" t="s">
        <v>253</v>
      </c>
    </row>
    <row r="2" ht="14.25">
      <c r="B2" s="85" t="s">
        <v>209</v>
      </c>
    </row>
    <row r="3" spans="1:14" ht="12.75">
      <c r="A3" s="62" t="s">
        <v>0</v>
      </c>
      <c r="B3" s="124" t="s">
        <v>8</v>
      </c>
      <c r="C3" s="124" t="s">
        <v>9</v>
      </c>
      <c r="D3" s="124" t="s">
        <v>10</v>
      </c>
      <c r="E3" s="124" t="s">
        <v>11</v>
      </c>
      <c r="F3" s="124" t="s">
        <v>12</v>
      </c>
      <c r="G3" s="124" t="s">
        <v>13</v>
      </c>
      <c r="H3" s="124" t="s">
        <v>14</v>
      </c>
      <c r="I3" s="124" t="s">
        <v>15</v>
      </c>
      <c r="J3" s="124" t="s">
        <v>16</v>
      </c>
      <c r="K3" s="124" t="s">
        <v>17</v>
      </c>
      <c r="L3" s="124" t="s">
        <v>18</v>
      </c>
      <c r="M3" s="124" t="s">
        <v>19</v>
      </c>
      <c r="N3" s="124" t="s">
        <v>67</v>
      </c>
    </row>
    <row r="4" spans="1:14" ht="12.75">
      <c r="A4" s="62">
        <v>1990</v>
      </c>
      <c r="B4" s="255">
        <v>1.2</v>
      </c>
      <c r="C4" s="255">
        <v>0.019</v>
      </c>
      <c r="D4" s="255">
        <v>0.031</v>
      </c>
      <c r="E4" s="255">
        <v>0.38</v>
      </c>
      <c r="F4" s="255">
        <v>0.044</v>
      </c>
      <c r="G4" s="255">
        <v>0.35</v>
      </c>
      <c r="H4" s="255">
        <v>0.78</v>
      </c>
      <c r="I4" s="255">
        <v>0.35</v>
      </c>
      <c r="J4" s="255">
        <v>0.23</v>
      </c>
      <c r="K4" s="385">
        <v>1.26</v>
      </c>
      <c r="L4" s="385">
        <v>0.014</v>
      </c>
      <c r="M4" s="255">
        <v>0.93</v>
      </c>
      <c r="N4" s="255">
        <v>0.21</v>
      </c>
    </row>
    <row r="5" spans="1:14" ht="12.75">
      <c r="A5" s="62">
        <v>1991</v>
      </c>
      <c r="B5" s="386">
        <v>1</v>
      </c>
      <c r="C5" s="386">
        <v>0.01</v>
      </c>
      <c r="D5" s="386">
        <v>0.02</v>
      </c>
      <c r="E5" s="386">
        <v>0.35</v>
      </c>
      <c r="F5" s="386">
        <v>0.035</v>
      </c>
      <c r="G5" s="386">
        <v>0.24</v>
      </c>
      <c r="H5" s="386">
        <v>0.773</v>
      </c>
      <c r="I5" s="386">
        <v>0.24</v>
      </c>
      <c r="J5" s="386">
        <v>0.196</v>
      </c>
      <c r="K5" s="386">
        <v>1.268</v>
      </c>
      <c r="L5" s="386">
        <v>0.004</v>
      </c>
      <c r="M5" s="386">
        <v>0.797</v>
      </c>
      <c r="N5" s="386">
        <v>0.24</v>
      </c>
    </row>
    <row r="6" spans="1:14" ht="12.75">
      <c r="A6" s="62">
        <v>1992</v>
      </c>
      <c r="B6" s="386">
        <v>1.004</v>
      </c>
      <c r="C6" s="386">
        <v>0.02</v>
      </c>
      <c r="D6" s="386">
        <v>0.01</v>
      </c>
      <c r="E6" s="386">
        <v>0.391</v>
      </c>
      <c r="F6" s="386">
        <v>0.041</v>
      </c>
      <c r="G6" s="386">
        <v>0.19</v>
      </c>
      <c r="H6" s="386">
        <v>0.785</v>
      </c>
      <c r="I6" s="386">
        <v>0.19</v>
      </c>
      <c r="J6" s="386">
        <v>0.197</v>
      </c>
      <c r="K6" s="386">
        <v>1.471</v>
      </c>
      <c r="L6" s="386">
        <v>0.007</v>
      </c>
      <c r="M6" s="386">
        <v>0.878</v>
      </c>
      <c r="N6" s="386">
        <v>0.19</v>
      </c>
    </row>
    <row r="7" spans="1:14" ht="12.75">
      <c r="A7" s="62">
        <v>1993</v>
      </c>
      <c r="B7" s="386">
        <v>1.003</v>
      </c>
      <c r="C7" s="386">
        <v>0.042</v>
      </c>
      <c r="D7" s="386">
        <v>0.011</v>
      </c>
      <c r="E7" s="386">
        <v>0.346</v>
      </c>
      <c r="F7" s="386">
        <v>0.033</v>
      </c>
      <c r="G7" s="386">
        <v>0.21</v>
      </c>
      <c r="H7" s="386">
        <v>0.776</v>
      </c>
      <c r="I7" s="386">
        <v>0.21</v>
      </c>
      <c r="J7" s="386">
        <v>0.127</v>
      </c>
      <c r="K7" s="386">
        <v>1.186</v>
      </c>
      <c r="L7" s="386">
        <v>0.002</v>
      </c>
      <c r="M7" s="386">
        <v>0.831</v>
      </c>
      <c r="N7" s="386">
        <v>0.21</v>
      </c>
    </row>
    <row r="8" spans="1:14" ht="12.75">
      <c r="A8" s="62">
        <v>1994</v>
      </c>
      <c r="B8" s="386">
        <v>0.97</v>
      </c>
      <c r="C8" s="386">
        <v>0.037</v>
      </c>
      <c r="D8" s="386">
        <v>0.011</v>
      </c>
      <c r="E8" s="386">
        <v>0.392</v>
      </c>
      <c r="F8" s="386">
        <v>0.019</v>
      </c>
      <c r="G8" s="386">
        <v>0.23</v>
      </c>
      <c r="H8" s="386">
        <v>0.754</v>
      </c>
      <c r="I8" s="386">
        <v>0.23</v>
      </c>
      <c r="J8" s="386">
        <v>0.103</v>
      </c>
      <c r="K8" s="386">
        <v>1.5</v>
      </c>
      <c r="L8" s="386">
        <v>0.003</v>
      </c>
      <c r="M8" s="386">
        <v>0.876</v>
      </c>
      <c r="N8" s="386">
        <v>0.23</v>
      </c>
    </row>
    <row r="9" spans="1:14" ht="12.75">
      <c r="A9" s="62">
        <v>1995</v>
      </c>
      <c r="B9" s="386">
        <v>0.97</v>
      </c>
      <c r="C9" s="386">
        <v>0.05</v>
      </c>
      <c r="D9" s="386">
        <v>0.01</v>
      </c>
      <c r="E9" s="386">
        <v>0.55</v>
      </c>
      <c r="F9" s="386">
        <v>0.034</v>
      </c>
      <c r="G9" s="386">
        <v>0.24</v>
      </c>
      <c r="H9" s="386">
        <v>0.75</v>
      </c>
      <c r="I9" s="386">
        <v>0.24</v>
      </c>
      <c r="J9" s="386">
        <v>0.12</v>
      </c>
      <c r="K9" s="386">
        <v>1.73</v>
      </c>
      <c r="L9" s="386">
        <v>0.002</v>
      </c>
      <c r="M9" s="386">
        <v>0.86</v>
      </c>
      <c r="N9" s="386">
        <v>0.24</v>
      </c>
    </row>
    <row r="10" spans="1:14" ht="12.75">
      <c r="A10" s="62">
        <v>1996</v>
      </c>
      <c r="B10" s="386">
        <v>0.992</v>
      </c>
      <c r="C10" s="386">
        <v>0.006</v>
      </c>
      <c r="D10" s="386">
        <v>0.01</v>
      </c>
      <c r="E10" s="386">
        <v>0.393</v>
      </c>
      <c r="F10" s="386">
        <v>0.032</v>
      </c>
      <c r="G10" s="386">
        <v>0.22</v>
      </c>
      <c r="H10" s="386">
        <v>0.722</v>
      </c>
      <c r="I10" s="386">
        <v>0.22</v>
      </c>
      <c r="J10" s="386">
        <v>0.135</v>
      </c>
      <c r="K10" s="386">
        <v>2.222</v>
      </c>
      <c r="L10" s="386">
        <v>0.002</v>
      </c>
      <c r="M10" s="386">
        <v>0.863</v>
      </c>
      <c r="N10" s="386">
        <v>0.22</v>
      </c>
    </row>
    <row r="11" spans="1:14" ht="12.75">
      <c r="A11" s="62">
        <v>1997</v>
      </c>
      <c r="B11" s="386">
        <v>0.993</v>
      </c>
      <c r="C11" s="386">
        <v>0.012</v>
      </c>
      <c r="D11" s="386">
        <v>0.007</v>
      </c>
      <c r="E11" s="386">
        <v>0.513</v>
      </c>
      <c r="F11" s="386">
        <v>0.029</v>
      </c>
      <c r="G11" s="386">
        <v>0.26</v>
      </c>
      <c r="H11" s="386">
        <v>0.739</v>
      </c>
      <c r="I11" s="386">
        <v>0.26</v>
      </c>
      <c r="J11" s="386">
        <v>0.172</v>
      </c>
      <c r="K11" s="386">
        <v>1.429</v>
      </c>
      <c r="L11" s="386">
        <v>0.002</v>
      </c>
      <c r="M11" s="386">
        <v>0.901</v>
      </c>
      <c r="N11" s="386">
        <v>0.26</v>
      </c>
    </row>
    <row r="12" spans="1:14" ht="12.75">
      <c r="A12" s="62">
        <v>1998</v>
      </c>
      <c r="B12" s="386">
        <v>0.97</v>
      </c>
      <c r="C12" s="386">
        <v>0.026</v>
      </c>
      <c r="D12" s="386">
        <v>0.03</v>
      </c>
      <c r="E12" s="386">
        <v>0.512</v>
      </c>
      <c r="F12" s="386">
        <v>0.023</v>
      </c>
      <c r="G12" s="386">
        <v>0.28</v>
      </c>
      <c r="H12" s="386">
        <v>0.747</v>
      </c>
      <c r="I12" s="386">
        <v>0.28</v>
      </c>
      <c r="J12" s="386">
        <v>0.232</v>
      </c>
      <c r="K12" s="386">
        <v>3.333</v>
      </c>
      <c r="L12" s="386">
        <v>0.01</v>
      </c>
      <c r="M12" s="386">
        <v>0.909</v>
      </c>
      <c r="N12" s="386">
        <v>0.28</v>
      </c>
    </row>
    <row r="13" spans="1:14" ht="12.75">
      <c r="A13" s="62">
        <v>1999</v>
      </c>
      <c r="B13" s="386">
        <v>0.956</v>
      </c>
      <c r="C13" s="386">
        <v>0.01</v>
      </c>
      <c r="D13" s="386">
        <v>0.02</v>
      </c>
      <c r="E13" s="386">
        <v>0.453</v>
      </c>
      <c r="F13" s="386">
        <v>0.02</v>
      </c>
      <c r="G13" s="386">
        <v>0.14</v>
      </c>
      <c r="H13" s="386">
        <v>0.739</v>
      </c>
      <c r="I13" s="386">
        <v>0.14</v>
      </c>
      <c r="J13" s="386">
        <v>0.237</v>
      </c>
      <c r="K13" s="386">
        <v>2.5</v>
      </c>
      <c r="L13" s="386">
        <v>0.006</v>
      </c>
      <c r="M13" s="386">
        <v>0.893</v>
      </c>
      <c r="N13" s="386">
        <v>0.14</v>
      </c>
    </row>
    <row r="14" spans="1:14" ht="12.75">
      <c r="A14" s="62">
        <v>2000</v>
      </c>
      <c r="B14" s="255">
        <v>1</v>
      </c>
      <c r="C14" s="255">
        <v>0.036</v>
      </c>
      <c r="D14" s="255">
        <v>0.034</v>
      </c>
      <c r="E14" s="255">
        <v>0.52</v>
      </c>
      <c r="F14" s="385">
        <v>0.019</v>
      </c>
      <c r="G14" s="255">
        <v>0.2</v>
      </c>
      <c r="H14" s="255">
        <v>0.88</v>
      </c>
      <c r="I14" s="385">
        <v>0.19</v>
      </c>
      <c r="J14" s="255">
        <v>0.32</v>
      </c>
      <c r="K14" s="385">
        <v>1.15</v>
      </c>
      <c r="L14" s="385">
        <v>0.0032</v>
      </c>
      <c r="M14" s="255">
        <v>0.96</v>
      </c>
      <c r="N14" s="255">
        <v>0.062</v>
      </c>
    </row>
    <row r="15" spans="1:14" ht="12.75">
      <c r="A15" s="62">
        <v>2001</v>
      </c>
      <c r="B15" s="385">
        <v>0.89</v>
      </c>
      <c r="C15" s="385">
        <v>0.05</v>
      </c>
      <c r="D15" s="385">
        <v>0.015</v>
      </c>
      <c r="E15" s="385">
        <v>0.54</v>
      </c>
      <c r="F15" s="385">
        <v>0.042</v>
      </c>
      <c r="G15" s="385">
        <v>0.16</v>
      </c>
      <c r="H15" s="385">
        <v>0.78</v>
      </c>
      <c r="I15" s="385">
        <v>0.16</v>
      </c>
      <c r="J15" s="385">
        <v>0.27</v>
      </c>
      <c r="K15" s="385">
        <v>1.04</v>
      </c>
      <c r="L15" s="385">
        <v>0.003</v>
      </c>
      <c r="M15" s="385">
        <v>0.88</v>
      </c>
      <c r="N15" s="385">
        <v>0.16</v>
      </c>
    </row>
    <row r="16" spans="1:14" ht="12.75">
      <c r="A16" s="62">
        <v>2002</v>
      </c>
      <c r="B16" s="385">
        <v>0.88</v>
      </c>
      <c r="C16" s="385">
        <v>0.014</v>
      </c>
      <c r="D16" s="385">
        <v>0.017</v>
      </c>
      <c r="E16" s="385">
        <v>0.53</v>
      </c>
      <c r="F16" s="385">
        <v>0.043</v>
      </c>
      <c r="G16" s="385">
        <v>0.11</v>
      </c>
      <c r="H16" s="385">
        <v>0.64</v>
      </c>
      <c r="I16" s="385">
        <v>0.11</v>
      </c>
      <c r="J16" s="385">
        <v>0.26</v>
      </c>
      <c r="K16" s="385">
        <v>0.76</v>
      </c>
      <c r="L16" s="385">
        <v>0.002</v>
      </c>
      <c r="M16" s="385">
        <v>0.85</v>
      </c>
      <c r="N16" s="385">
        <v>0.11</v>
      </c>
    </row>
    <row r="17" spans="1:14" ht="12.75">
      <c r="A17" s="62">
        <v>2003</v>
      </c>
      <c r="B17" s="385">
        <v>0.95</v>
      </c>
      <c r="C17" s="385">
        <v>0.015</v>
      </c>
      <c r="D17" s="385">
        <v>0.038</v>
      </c>
      <c r="E17" s="385">
        <v>0.47</v>
      </c>
      <c r="F17" s="385">
        <v>0.038</v>
      </c>
      <c r="G17" s="385">
        <v>0.11</v>
      </c>
      <c r="H17" s="385">
        <v>0.72</v>
      </c>
      <c r="I17" s="385">
        <v>0.11</v>
      </c>
      <c r="J17" s="385">
        <v>0.28</v>
      </c>
      <c r="K17" s="385">
        <v>0.68</v>
      </c>
      <c r="L17" s="385">
        <v>0.01</v>
      </c>
      <c r="M17" s="385">
        <v>0.82</v>
      </c>
      <c r="N17" s="385">
        <v>0.11</v>
      </c>
    </row>
    <row r="18" spans="1:14" ht="12.75">
      <c r="A18" s="62">
        <v>2004</v>
      </c>
      <c r="B18" s="385">
        <v>0.92</v>
      </c>
      <c r="C18" s="385">
        <v>0.023</v>
      </c>
      <c r="D18" s="385">
        <v>0.014</v>
      </c>
      <c r="E18" s="385">
        <v>0.49</v>
      </c>
      <c r="F18" s="385">
        <v>0.032</v>
      </c>
      <c r="G18" s="385">
        <v>0.11</v>
      </c>
      <c r="H18" s="385">
        <v>0.84</v>
      </c>
      <c r="I18" s="385">
        <v>0.11</v>
      </c>
      <c r="J18" s="385">
        <v>0.2</v>
      </c>
      <c r="K18" s="385">
        <v>0.38</v>
      </c>
      <c r="L18" s="385">
        <v>0.009</v>
      </c>
      <c r="M18" s="385">
        <v>0.86</v>
      </c>
      <c r="N18" s="385">
        <v>0.11</v>
      </c>
    </row>
    <row r="19" spans="1:14" ht="12.75">
      <c r="A19" s="62">
        <v>2005</v>
      </c>
      <c r="B19" s="255">
        <v>0.99</v>
      </c>
      <c r="C19" s="255">
        <v>0.026</v>
      </c>
      <c r="D19" s="255">
        <v>0.01</v>
      </c>
      <c r="E19" s="255">
        <v>0.42</v>
      </c>
      <c r="F19" s="255">
        <v>0.021</v>
      </c>
      <c r="G19" s="255">
        <v>0.49</v>
      </c>
      <c r="H19" s="255">
        <v>0.97</v>
      </c>
      <c r="I19" s="255">
        <v>0.2</v>
      </c>
      <c r="J19" s="255">
        <v>0.24</v>
      </c>
      <c r="K19" s="385">
        <v>0.17</v>
      </c>
      <c r="L19" s="255">
        <v>0.0042</v>
      </c>
      <c r="M19" s="255">
        <v>0.84</v>
      </c>
      <c r="N19" s="255">
        <v>0.077</v>
      </c>
    </row>
    <row r="20" spans="1:14" ht="12.75">
      <c r="A20" s="62">
        <v>2006</v>
      </c>
      <c r="B20" s="385">
        <v>0.95</v>
      </c>
      <c r="C20" s="385">
        <v>0.031</v>
      </c>
      <c r="D20" s="385">
        <v>0.012</v>
      </c>
      <c r="E20" s="385">
        <v>0.44</v>
      </c>
      <c r="F20" s="385">
        <v>0.016</v>
      </c>
      <c r="G20" s="385">
        <v>0.39</v>
      </c>
      <c r="H20" s="385">
        <v>0.86</v>
      </c>
      <c r="I20" s="385">
        <v>0.39</v>
      </c>
      <c r="J20" s="385">
        <v>0.19</v>
      </c>
      <c r="K20" s="385">
        <v>0.08</v>
      </c>
      <c r="L20" s="385">
        <v>0.006</v>
      </c>
      <c r="M20" s="385">
        <v>0.73</v>
      </c>
      <c r="N20" s="385">
        <v>0.05</v>
      </c>
    </row>
    <row r="21" spans="1:14" ht="12.75">
      <c r="A21" s="62">
        <v>2007</v>
      </c>
      <c r="B21" s="255">
        <v>1</v>
      </c>
      <c r="C21" s="385">
        <v>0.022</v>
      </c>
      <c r="D21" s="255">
        <v>0.015</v>
      </c>
      <c r="E21" s="255">
        <v>0.48</v>
      </c>
      <c r="F21" s="385">
        <v>0.026</v>
      </c>
      <c r="G21" s="255">
        <v>0.44</v>
      </c>
      <c r="H21" s="255">
        <v>1.01</v>
      </c>
      <c r="I21" s="255">
        <v>0.44</v>
      </c>
      <c r="J21" s="255">
        <v>0.24</v>
      </c>
      <c r="K21" s="385">
        <v>0.1</v>
      </c>
      <c r="L21" s="255">
        <v>0.0035</v>
      </c>
      <c r="M21" s="255">
        <v>0.83</v>
      </c>
      <c r="N21" s="255">
        <v>0.055</v>
      </c>
    </row>
    <row r="22" spans="1:14" ht="12.75">
      <c r="A22" s="62">
        <v>2008</v>
      </c>
      <c r="B22" s="255">
        <v>1.2</v>
      </c>
      <c r="C22" s="255">
        <v>0.03</v>
      </c>
      <c r="D22" s="255">
        <v>0.014</v>
      </c>
      <c r="E22" s="255">
        <v>0.53</v>
      </c>
      <c r="F22" s="255">
        <v>0.022</v>
      </c>
      <c r="G22" s="255">
        <v>0.42</v>
      </c>
      <c r="H22" s="255">
        <v>0.89</v>
      </c>
      <c r="I22" s="255">
        <v>0.42</v>
      </c>
      <c r="J22" s="385">
        <v>0.17</v>
      </c>
      <c r="K22" s="255">
        <v>0.0538</v>
      </c>
      <c r="L22" s="385">
        <v>0.003</v>
      </c>
      <c r="M22" s="255">
        <v>0.84</v>
      </c>
      <c r="N22" s="255">
        <v>0.053</v>
      </c>
    </row>
    <row r="23" spans="1:14" ht="12.75">
      <c r="A23" s="62">
        <v>2009</v>
      </c>
      <c r="B23" s="256">
        <v>1.1</v>
      </c>
      <c r="C23" s="256">
        <v>0.028</v>
      </c>
      <c r="D23" s="256">
        <v>0.0066</v>
      </c>
      <c r="E23" s="256">
        <v>0.6</v>
      </c>
      <c r="F23" s="256">
        <v>0.019</v>
      </c>
      <c r="G23" s="256">
        <v>0.4</v>
      </c>
      <c r="H23" s="256">
        <v>0.92</v>
      </c>
      <c r="I23" s="256">
        <v>0.4</v>
      </c>
      <c r="J23" s="256">
        <v>0.12</v>
      </c>
      <c r="K23" s="387">
        <v>0.00224</v>
      </c>
      <c r="L23" s="256">
        <v>0.004</v>
      </c>
      <c r="M23" s="256">
        <v>0.92</v>
      </c>
      <c r="N23" s="256">
        <v>0.046</v>
      </c>
    </row>
    <row r="24" spans="1:14" ht="12.75">
      <c r="A24" s="62">
        <v>2010</v>
      </c>
      <c r="B24" s="255">
        <v>1.1</v>
      </c>
      <c r="C24" s="255">
        <v>0.026</v>
      </c>
      <c r="D24" s="255">
        <v>0.0031</v>
      </c>
      <c r="E24" s="255">
        <v>0.53</v>
      </c>
      <c r="F24" s="255">
        <v>0.021</v>
      </c>
      <c r="G24" s="255">
        <v>0.39</v>
      </c>
      <c r="H24" s="385">
        <v>0.81</v>
      </c>
      <c r="I24" s="255">
        <v>0.39</v>
      </c>
      <c r="J24" s="255">
        <v>0.15</v>
      </c>
      <c r="K24" s="255">
        <v>0.00362</v>
      </c>
      <c r="L24" s="255">
        <v>0.003</v>
      </c>
      <c r="M24" s="255">
        <v>0.86</v>
      </c>
      <c r="N24" s="385">
        <v>0.05</v>
      </c>
    </row>
    <row r="25" spans="1:14" ht="12.75">
      <c r="A25" s="62">
        <v>2011</v>
      </c>
      <c r="B25" s="125">
        <v>1</v>
      </c>
      <c r="C25" s="125">
        <v>0.012</v>
      </c>
      <c r="D25" s="125">
        <v>0.0035</v>
      </c>
      <c r="E25" s="125">
        <v>0.45</v>
      </c>
      <c r="F25" s="125">
        <v>0.018</v>
      </c>
      <c r="G25" s="125">
        <v>0.34</v>
      </c>
      <c r="H25" s="386">
        <v>0.77</v>
      </c>
      <c r="I25" s="125">
        <v>0.34</v>
      </c>
      <c r="J25" s="125">
        <v>0.11</v>
      </c>
      <c r="K25" s="125">
        <v>0.00204</v>
      </c>
      <c r="L25" s="125">
        <v>0.002</v>
      </c>
      <c r="M25" s="125">
        <v>0.79</v>
      </c>
      <c r="N25" s="125">
        <v>0.074</v>
      </c>
    </row>
    <row r="26" spans="1:14" ht="12.75">
      <c r="A26" s="62">
        <v>2012</v>
      </c>
      <c r="B26" s="326">
        <v>1</v>
      </c>
      <c r="C26" s="326">
        <v>0.012</v>
      </c>
      <c r="D26" s="326">
        <v>0.0035</v>
      </c>
      <c r="E26" s="326">
        <v>0.45</v>
      </c>
      <c r="F26" s="326">
        <v>0.018</v>
      </c>
      <c r="G26" s="326">
        <v>0.34</v>
      </c>
      <c r="H26" s="388">
        <v>0.77</v>
      </c>
      <c r="I26" s="326">
        <v>0.34</v>
      </c>
      <c r="J26" s="326">
        <v>0.11</v>
      </c>
      <c r="K26" s="326">
        <v>0.00204</v>
      </c>
      <c r="L26" s="326">
        <v>0.002</v>
      </c>
      <c r="M26" s="326">
        <v>0.79</v>
      </c>
      <c r="N26" s="326">
        <v>0.074</v>
      </c>
    </row>
    <row r="27" spans="1:14" ht="12.75">
      <c r="A27" s="62">
        <v>2013</v>
      </c>
      <c r="B27" s="326">
        <v>1</v>
      </c>
      <c r="C27" s="326">
        <v>0.012</v>
      </c>
      <c r="D27" s="326">
        <v>0.0035</v>
      </c>
      <c r="E27" s="326">
        <v>0.45</v>
      </c>
      <c r="F27" s="326">
        <v>0.018</v>
      </c>
      <c r="G27" s="326">
        <v>0.34</v>
      </c>
      <c r="H27" s="388">
        <v>0.77</v>
      </c>
      <c r="I27" s="326">
        <v>0.34</v>
      </c>
      <c r="J27" s="326">
        <v>0.11</v>
      </c>
      <c r="K27" s="326">
        <v>0.00204</v>
      </c>
      <c r="L27" s="326">
        <v>0.002</v>
      </c>
      <c r="M27" s="326">
        <v>0.79</v>
      </c>
      <c r="N27" s="326">
        <v>0.074</v>
      </c>
    </row>
    <row r="28" spans="2:4" ht="12.75">
      <c r="B28" s="85"/>
      <c r="D28" s="84"/>
    </row>
    <row r="29" ht="12.75">
      <c r="B29" s="85"/>
    </row>
    <row r="30" ht="12.75">
      <c r="B30" s="85"/>
    </row>
    <row r="36" ht="12.75">
      <c r="D36" s="84"/>
    </row>
    <row r="37" ht="12.75">
      <c r="D37" s="84"/>
    </row>
    <row r="38" ht="12.75">
      <c r="D38" s="84"/>
    </row>
    <row r="39" spans="3:4" ht="12.75">
      <c r="C39" s="84"/>
      <c r="D39" s="84"/>
    </row>
    <row r="43" ht="12.75">
      <c r="D43" s="84"/>
    </row>
    <row r="46" ht="12.75">
      <c r="D46" s="84"/>
    </row>
    <row r="48" ht="12.75">
      <c r="D48" s="84"/>
    </row>
    <row r="51" ht="12.75">
      <c r="C51" s="84"/>
    </row>
    <row r="52" ht="12.75">
      <c r="D52" s="84"/>
    </row>
    <row r="58" ht="12.75">
      <c r="D58" s="84"/>
    </row>
    <row r="59" ht="12.75">
      <c r="D59" s="84"/>
    </row>
    <row r="61" ht="12.75">
      <c r="D61" s="84"/>
    </row>
    <row r="64" ht="12.75">
      <c r="C64" s="84"/>
    </row>
    <row r="66" ht="12.75">
      <c r="D66" s="84"/>
    </row>
    <row r="70" ht="12.75">
      <c r="D70" s="84"/>
    </row>
    <row r="72" ht="12.75">
      <c r="D72" s="84"/>
    </row>
    <row r="75" ht="12.75">
      <c r="D75" s="84"/>
    </row>
    <row r="76" spans="3:4" ht="12.75">
      <c r="C76" s="84"/>
      <c r="D76" s="84"/>
    </row>
    <row r="79" ht="12.75">
      <c r="D79" s="84"/>
    </row>
    <row r="82" ht="12.75">
      <c r="D82" s="84"/>
    </row>
    <row r="83" ht="12.75">
      <c r="D83" s="84"/>
    </row>
    <row r="85" ht="12.75">
      <c r="D85" s="84"/>
    </row>
    <row r="86" ht="12.75">
      <c r="D86" s="84"/>
    </row>
    <row r="87" ht="12.75">
      <c r="D87" s="84"/>
    </row>
    <row r="88" spans="3:4" ht="12.75">
      <c r="C88" s="84"/>
      <c r="D88" s="84"/>
    </row>
    <row r="91" ht="12.75">
      <c r="D91" s="84"/>
    </row>
    <row r="93" ht="12.75">
      <c r="D93" s="84"/>
    </row>
    <row r="100" ht="12.75">
      <c r="C100" s="84"/>
    </row>
    <row r="103" ht="12.75">
      <c r="D103" s="84"/>
    </row>
    <row r="106" ht="12.75">
      <c r="D106" s="84"/>
    </row>
    <row r="107" ht="12.75">
      <c r="D107" s="84"/>
    </row>
    <row r="114" ht="12.75">
      <c r="D114" s="84"/>
    </row>
    <row r="115" ht="12.75">
      <c r="D115" s="84"/>
    </row>
    <row r="117" ht="12.75">
      <c r="D117" s="84"/>
    </row>
    <row r="118" ht="12.75">
      <c r="D118" s="84"/>
    </row>
    <row r="121" ht="12.75">
      <c r="D121" s="84"/>
    </row>
    <row r="122" ht="12.75">
      <c r="D122" s="84"/>
    </row>
    <row r="123" ht="12.75">
      <c r="D123" s="84"/>
    </row>
    <row r="124" spans="3:4" ht="12.75">
      <c r="C124" s="84"/>
      <c r="D124" s="84"/>
    </row>
    <row r="125" ht="12.75">
      <c r="D125" s="84"/>
    </row>
    <row r="126" ht="12.75">
      <c r="D126" s="84"/>
    </row>
    <row r="128" ht="12.75">
      <c r="D128" s="84"/>
    </row>
    <row r="129" ht="12.75">
      <c r="D129" s="84"/>
    </row>
    <row r="132" ht="12.75">
      <c r="D132" s="84"/>
    </row>
    <row r="134" ht="12.75">
      <c r="D134" s="84"/>
    </row>
    <row r="136" ht="12.75">
      <c r="C136" s="84"/>
    </row>
    <row r="137" ht="12.75">
      <c r="D137" s="84"/>
    </row>
    <row r="143" ht="12.75">
      <c r="D143" s="84"/>
    </row>
    <row r="151" ht="12.75">
      <c r="D151" s="84"/>
    </row>
    <row r="153" ht="12.75">
      <c r="D153" s="84"/>
    </row>
  </sheetData>
  <sheetProtection/>
  <printOptions/>
  <pageMargins left="0.75" right="0.75" top="1" bottom="1" header="0.5" footer="0.5"/>
  <pageSetup fitToHeight="1" fitToWidth="1" horizontalDpi="600" verticalDpi="600" orientation="landscape" scale="41" r:id="rId2"/>
  <drawing r:id="rId1"/>
</worksheet>
</file>

<file path=xl/worksheets/sheet19.xml><?xml version="1.0" encoding="utf-8"?>
<worksheet xmlns="http://schemas.openxmlformats.org/spreadsheetml/2006/main" xmlns:r="http://schemas.openxmlformats.org/officeDocument/2006/relationships">
  <sheetPr codeName="Sheet31">
    <pageSetUpPr fitToPage="1"/>
  </sheetPr>
  <dimension ref="A1:N158"/>
  <sheetViews>
    <sheetView zoomScalePageLayoutView="0" workbookViewId="0" topLeftCell="A1">
      <pane xSplit="1" ySplit="3" topLeftCell="B4" activePane="bottomRight" state="frozen"/>
      <selection pane="topLeft" activeCell="B9" sqref="B9"/>
      <selection pane="topRight" activeCell="B9" sqref="B9"/>
      <selection pane="bottomLeft" activeCell="B9" sqref="B9"/>
      <selection pane="bottomRight" activeCell="D21" sqref="D21"/>
    </sheetView>
  </sheetViews>
  <sheetFormatPr defaultColWidth="9.33203125" defaultRowHeight="12.75"/>
  <cols>
    <col min="1" max="1" width="14.16015625" style="0" bestFit="1" customWidth="1"/>
    <col min="2" max="2" width="15" style="0" bestFit="1" customWidth="1"/>
    <col min="3" max="3" width="16" style="0" bestFit="1" customWidth="1"/>
    <col min="4" max="4" width="9.83203125" style="0" bestFit="1" customWidth="1"/>
    <col min="5" max="5" width="15.16015625" style="0" bestFit="1" customWidth="1"/>
    <col min="6" max="6" width="14.5" style="0" bestFit="1" customWidth="1"/>
    <col min="7" max="7" width="20.5" style="0" bestFit="1" customWidth="1"/>
    <col min="8" max="8" width="12" style="0" bestFit="1" customWidth="1"/>
    <col min="9" max="9" width="9" style="0" bestFit="1" customWidth="1"/>
    <col min="10" max="10" width="9.16015625" style="0" bestFit="1" customWidth="1"/>
    <col min="11" max="11" width="20.16015625" style="0" bestFit="1" customWidth="1"/>
    <col min="12" max="12" width="9.16015625" style="0" bestFit="1" customWidth="1"/>
    <col min="13" max="13" width="14" style="0" bestFit="1" customWidth="1"/>
    <col min="14" max="14" width="8.16015625" style="0" bestFit="1" customWidth="1"/>
  </cols>
  <sheetData>
    <row r="1" ht="12.75">
      <c r="A1" t="s">
        <v>63</v>
      </c>
    </row>
    <row r="2" ht="12.75">
      <c r="B2" t="s">
        <v>1</v>
      </c>
    </row>
    <row r="3" spans="1:14" ht="12.75">
      <c r="A3" t="s">
        <v>0</v>
      </c>
      <c r="B3" s="128" t="s">
        <v>8</v>
      </c>
      <c r="C3" s="129" t="s">
        <v>9</v>
      </c>
      <c r="D3" s="129" t="s">
        <v>10</v>
      </c>
      <c r="E3" s="129" t="s">
        <v>11</v>
      </c>
      <c r="F3" s="129" t="s">
        <v>12</v>
      </c>
      <c r="G3" s="129" t="s">
        <v>13</v>
      </c>
      <c r="H3" s="129" t="s">
        <v>14</v>
      </c>
      <c r="I3" s="129" t="s">
        <v>15</v>
      </c>
      <c r="J3" s="129" t="s">
        <v>16</v>
      </c>
      <c r="K3" s="129" t="s">
        <v>17</v>
      </c>
      <c r="L3" s="129" t="s">
        <v>18</v>
      </c>
      <c r="M3" s="129" t="s">
        <v>19</v>
      </c>
      <c r="N3" s="129" t="s">
        <v>67</v>
      </c>
    </row>
    <row r="4" spans="1:14" ht="12.75">
      <c r="A4">
        <v>1990</v>
      </c>
      <c r="B4" s="129">
        <v>0.00942</v>
      </c>
      <c r="C4" s="129">
        <v>0.000264</v>
      </c>
      <c r="D4" s="129">
        <v>0.000286</v>
      </c>
      <c r="E4" s="129">
        <v>0.0042</v>
      </c>
      <c r="F4" s="129">
        <v>0.00291</v>
      </c>
      <c r="G4" s="129">
        <v>0.00446</v>
      </c>
      <c r="H4" s="129">
        <v>0.00677</v>
      </c>
      <c r="I4" s="129">
        <v>0.00184</v>
      </c>
      <c r="J4" s="129">
        <v>0.0017</v>
      </c>
      <c r="K4" s="129">
        <v>0.00572</v>
      </c>
      <c r="L4" s="129">
        <v>0.000154</v>
      </c>
      <c r="M4" s="129">
        <v>0.0099</v>
      </c>
      <c r="N4" s="129">
        <v>0.00184</v>
      </c>
    </row>
    <row r="5" spans="1:14" ht="12.75">
      <c r="A5">
        <v>1991</v>
      </c>
      <c r="B5" s="184">
        <v>3.06E-05</v>
      </c>
      <c r="C5" s="184">
        <v>7.53E-05</v>
      </c>
      <c r="D5" s="184">
        <v>6.55E-07</v>
      </c>
      <c r="E5" s="184">
        <v>1.39E-05</v>
      </c>
      <c r="F5" s="184">
        <v>7.2E-06</v>
      </c>
      <c r="G5" s="184">
        <v>1.5E-05</v>
      </c>
      <c r="H5" s="184">
        <v>2.23E-05</v>
      </c>
      <c r="I5" s="129">
        <v>0.00184</v>
      </c>
      <c r="J5" s="129">
        <v>0.000106</v>
      </c>
      <c r="K5" s="184">
        <v>1.82E-05</v>
      </c>
      <c r="L5" s="184">
        <v>1.79E-05</v>
      </c>
      <c r="M5" s="184">
        <v>6.73E-05</v>
      </c>
      <c r="N5" s="129">
        <v>0.00184</v>
      </c>
    </row>
    <row r="6" spans="1:14" ht="12.75">
      <c r="A6">
        <v>1992</v>
      </c>
      <c r="B6" s="129">
        <v>0.00945</v>
      </c>
      <c r="C6" s="129">
        <v>0.00044</v>
      </c>
      <c r="D6" s="129">
        <v>0.000178</v>
      </c>
      <c r="E6" s="129">
        <v>0.00488</v>
      </c>
      <c r="F6" s="129">
        <v>0.00248</v>
      </c>
      <c r="G6" s="129">
        <v>0.00763</v>
      </c>
      <c r="H6" s="129">
        <v>0.00721</v>
      </c>
      <c r="I6" s="129">
        <v>0.00184</v>
      </c>
      <c r="J6" s="129">
        <v>0.0015</v>
      </c>
      <c r="K6" s="129">
        <v>0.00556</v>
      </c>
      <c r="L6" s="129">
        <v>0.000109</v>
      </c>
      <c r="M6" s="129">
        <v>0.0105</v>
      </c>
      <c r="N6" s="129">
        <v>0.00184</v>
      </c>
    </row>
    <row r="7" spans="1:14" ht="12.75">
      <c r="A7">
        <v>1993</v>
      </c>
      <c r="B7" s="129">
        <v>0.00866</v>
      </c>
      <c r="C7" s="129">
        <v>0.000645</v>
      </c>
      <c r="D7" s="129">
        <v>0.00016</v>
      </c>
      <c r="E7" s="129">
        <v>0.00394</v>
      </c>
      <c r="F7" s="129">
        <v>0.00244</v>
      </c>
      <c r="G7" s="129">
        <v>0.00573</v>
      </c>
      <c r="H7" s="129">
        <v>0.00692</v>
      </c>
      <c r="I7" s="129">
        <v>0.00203</v>
      </c>
      <c r="J7" s="129">
        <v>0.000922</v>
      </c>
      <c r="K7" s="129">
        <v>0.00504</v>
      </c>
      <c r="L7" s="184">
        <v>3.85E-05</v>
      </c>
      <c r="M7" s="129">
        <v>0.00988</v>
      </c>
      <c r="N7" s="129">
        <v>0.00203</v>
      </c>
    </row>
    <row r="8" spans="1:14" ht="12.75">
      <c r="A8">
        <v>1994</v>
      </c>
      <c r="B8" s="129">
        <v>0.00856</v>
      </c>
      <c r="C8" s="129">
        <v>0.000766</v>
      </c>
      <c r="D8" s="129">
        <v>0.000131</v>
      </c>
      <c r="E8" s="129">
        <v>0.00364</v>
      </c>
      <c r="F8" s="129">
        <v>0.00112</v>
      </c>
      <c r="G8" s="129">
        <v>0.00711</v>
      </c>
      <c r="H8" s="129">
        <v>0.00592</v>
      </c>
      <c r="I8" s="129">
        <v>0.00161</v>
      </c>
      <c r="J8" s="129">
        <v>0.000744</v>
      </c>
      <c r="K8" s="129">
        <v>0.00455</v>
      </c>
      <c r="L8" s="184">
        <v>2.29E-05</v>
      </c>
      <c r="M8" s="129">
        <v>0.0104</v>
      </c>
      <c r="N8" s="129">
        <v>0.00161</v>
      </c>
    </row>
    <row r="9" spans="1:14" ht="12.75">
      <c r="A9">
        <v>1995</v>
      </c>
      <c r="B9" s="129">
        <v>0.00848</v>
      </c>
      <c r="C9" s="129">
        <v>0.000585</v>
      </c>
      <c r="D9" s="129">
        <v>0.000131</v>
      </c>
      <c r="E9" s="129">
        <v>0.00149</v>
      </c>
      <c r="F9" s="129">
        <v>0.000205</v>
      </c>
      <c r="G9" s="129">
        <v>0.0221</v>
      </c>
      <c r="H9" s="129">
        <v>0.00447</v>
      </c>
      <c r="I9" s="129">
        <v>0.00814</v>
      </c>
      <c r="J9" s="129">
        <v>0.000808</v>
      </c>
      <c r="K9" s="129">
        <v>0.00213</v>
      </c>
      <c r="L9" s="184">
        <v>2.81E-05</v>
      </c>
      <c r="M9" s="129">
        <v>0.0101</v>
      </c>
      <c r="N9" s="129">
        <v>0.00814</v>
      </c>
    </row>
    <row r="10" spans="1:14" ht="12.75">
      <c r="A10">
        <v>1996</v>
      </c>
      <c r="B10" s="129">
        <v>0.00826</v>
      </c>
      <c r="C10" s="129">
        <v>0.000243</v>
      </c>
      <c r="D10" s="129">
        <v>0.000171</v>
      </c>
      <c r="E10" s="129">
        <v>0.00159</v>
      </c>
      <c r="F10" s="129">
        <v>0.000342</v>
      </c>
      <c r="G10" s="129">
        <v>0.0103</v>
      </c>
      <c r="H10" s="129">
        <v>0.00494</v>
      </c>
      <c r="I10" s="129">
        <v>0.00355</v>
      </c>
      <c r="J10" s="129">
        <v>0.000923</v>
      </c>
      <c r="K10" s="129">
        <v>0.00193</v>
      </c>
      <c r="L10" s="184">
        <v>2.42E-05</v>
      </c>
      <c r="M10" s="129">
        <v>0.0101</v>
      </c>
      <c r="N10" s="129">
        <v>0.00355</v>
      </c>
    </row>
    <row r="11" spans="1:14" ht="12.75">
      <c r="A11">
        <v>1997</v>
      </c>
      <c r="B11" s="129">
        <v>0.00818</v>
      </c>
      <c r="C11" s="129">
        <v>0.000286</v>
      </c>
      <c r="D11" s="184">
        <v>6.86E-05</v>
      </c>
      <c r="E11" s="129">
        <v>0.00159</v>
      </c>
      <c r="F11" s="129">
        <v>0.000205</v>
      </c>
      <c r="G11" s="129">
        <v>0.0161</v>
      </c>
      <c r="H11" s="129">
        <v>0.00456</v>
      </c>
      <c r="I11" s="129">
        <v>0.0114</v>
      </c>
      <c r="J11" s="129">
        <v>0.00122</v>
      </c>
      <c r="K11" s="129">
        <v>0.00167</v>
      </c>
      <c r="L11" s="184">
        <v>2.71E-05</v>
      </c>
      <c r="M11" s="129">
        <v>0.00923</v>
      </c>
      <c r="N11" s="129">
        <v>0.0114</v>
      </c>
    </row>
    <row r="12" spans="1:14" ht="12.75">
      <c r="A12">
        <v>1998</v>
      </c>
      <c r="B12" s="129">
        <v>0.00798</v>
      </c>
      <c r="C12" s="129">
        <v>0.000356</v>
      </c>
      <c r="D12" s="129">
        <v>0.000296</v>
      </c>
      <c r="E12" s="129">
        <v>0.00172</v>
      </c>
      <c r="F12" s="129">
        <v>0.000128</v>
      </c>
      <c r="G12" s="129">
        <v>0.0189</v>
      </c>
      <c r="H12" s="129">
        <v>0.00345</v>
      </c>
      <c r="I12" s="129">
        <v>0.00515</v>
      </c>
      <c r="J12" s="129">
        <v>0.0017</v>
      </c>
      <c r="K12" s="129">
        <v>0.00174</v>
      </c>
      <c r="L12" s="184">
        <v>7.89E-05</v>
      </c>
      <c r="M12" s="129">
        <v>0.00962</v>
      </c>
      <c r="N12" s="129">
        <v>0.00515</v>
      </c>
    </row>
    <row r="13" spans="1:14" ht="12.75">
      <c r="A13">
        <v>1999</v>
      </c>
      <c r="B13" s="129">
        <v>0.00787</v>
      </c>
      <c r="C13" s="184">
        <v>8.21E-05</v>
      </c>
      <c r="D13" s="184">
        <v>1.65E-05</v>
      </c>
      <c r="E13" s="129">
        <v>0.00152</v>
      </c>
      <c r="F13" s="184">
        <v>3.82E-05</v>
      </c>
      <c r="G13" s="129">
        <v>0.00782</v>
      </c>
      <c r="H13" s="129">
        <v>0.00259</v>
      </c>
      <c r="I13" s="129">
        <v>0.00341</v>
      </c>
      <c r="J13" s="129">
        <v>0.00157</v>
      </c>
      <c r="K13" s="129">
        <v>0.00018</v>
      </c>
      <c r="L13" s="184">
        <v>1.56E-05</v>
      </c>
      <c r="M13" s="129">
        <v>0.00909</v>
      </c>
      <c r="N13" s="129">
        <v>0.00341</v>
      </c>
    </row>
    <row r="14" spans="1:14" ht="12.75">
      <c r="A14">
        <v>2000</v>
      </c>
      <c r="B14" s="129">
        <v>0.00526</v>
      </c>
      <c r="C14" s="129">
        <v>0.0002</v>
      </c>
      <c r="D14" s="184">
        <v>1.12E-05</v>
      </c>
      <c r="E14" s="129">
        <v>0.000988</v>
      </c>
      <c r="F14" s="129">
        <v>0.00405</v>
      </c>
      <c r="G14" s="129">
        <v>0.00125</v>
      </c>
      <c r="H14" s="129">
        <v>0.00185</v>
      </c>
      <c r="I14" s="129">
        <v>0.00152</v>
      </c>
      <c r="J14" s="129">
        <v>0.00141</v>
      </c>
      <c r="K14" s="129">
        <v>0.00103</v>
      </c>
      <c r="L14" s="184">
        <v>4.25E-05</v>
      </c>
      <c r="M14" s="129">
        <v>0.00585</v>
      </c>
      <c r="N14" s="129">
        <v>0.00152</v>
      </c>
    </row>
    <row r="15" ht="12.75">
      <c r="D15" s="1"/>
    </row>
    <row r="16" spans="3:4" ht="12.75">
      <c r="C16" s="1"/>
      <c r="D16" s="1"/>
    </row>
    <row r="17" ht="12.75">
      <c r="D17" s="1"/>
    </row>
    <row r="19" ht="12.75">
      <c r="D19" s="1"/>
    </row>
    <row r="21" ht="12.75">
      <c r="D21" s="1"/>
    </row>
    <row r="22" ht="12.75">
      <c r="D22" s="1"/>
    </row>
    <row r="23" spans="3:4" ht="12.75">
      <c r="C23" s="1"/>
      <c r="D23" s="1"/>
    </row>
    <row r="24" ht="12.75">
      <c r="D24" s="1"/>
    </row>
    <row r="27" spans="3:4" ht="12.75">
      <c r="C27" s="1"/>
      <c r="D27" s="1"/>
    </row>
    <row r="28" ht="12.75">
      <c r="D28" s="1"/>
    </row>
    <row r="32" ht="12.75">
      <c r="D32" s="1"/>
    </row>
    <row r="33" ht="12.75">
      <c r="D33" s="1"/>
    </row>
    <row r="34" ht="12.75">
      <c r="D34" s="1"/>
    </row>
    <row r="35" spans="3:4" ht="12.75">
      <c r="C35" s="1"/>
      <c r="D35" s="1"/>
    </row>
    <row r="36" ht="12.75">
      <c r="D36" s="1"/>
    </row>
    <row r="37" ht="12.75">
      <c r="C37" s="1"/>
    </row>
    <row r="38" ht="12.75">
      <c r="C38" s="1"/>
    </row>
    <row r="39" ht="12.75">
      <c r="D39" s="1"/>
    </row>
    <row r="42" ht="12.75">
      <c r="D42" s="1"/>
    </row>
    <row r="43" ht="12.75">
      <c r="D43" s="1"/>
    </row>
    <row r="44" ht="12.75">
      <c r="D44" s="1"/>
    </row>
    <row r="45" spans="3:4" ht="12.75">
      <c r="C45" s="1"/>
      <c r="D45" s="1"/>
    </row>
    <row r="46" ht="12.75">
      <c r="D46" s="1"/>
    </row>
    <row r="48" ht="12.75">
      <c r="D48" s="1"/>
    </row>
    <row r="49" ht="12.75">
      <c r="D49" s="1"/>
    </row>
    <row r="50" ht="12.75">
      <c r="D50" s="1"/>
    </row>
    <row r="51" ht="12.75">
      <c r="D51" s="1"/>
    </row>
    <row r="54" ht="12.75">
      <c r="D54" s="1"/>
    </row>
    <row r="57" ht="12.75">
      <c r="D57" s="1"/>
    </row>
    <row r="58" ht="12.75">
      <c r="C58" s="1"/>
    </row>
    <row r="60" spans="3:4" ht="12.75">
      <c r="C60" s="1"/>
      <c r="D60" s="1"/>
    </row>
    <row r="62" ht="12.75">
      <c r="D62" s="1"/>
    </row>
    <row r="63" ht="12.75">
      <c r="D63" s="1"/>
    </row>
    <row r="65" ht="12.75">
      <c r="D65" s="1"/>
    </row>
    <row r="67" ht="12.75">
      <c r="D67" s="1"/>
    </row>
    <row r="69" ht="12.75">
      <c r="D69" s="1"/>
    </row>
    <row r="72" ht="12.75">
      <c r="D72" s="1"/>
    </row>
    <row r="74" ht="12.75">
      <c r="D74" s="1"/>
    </row>
    <row r="75" ht="12.75">
      <c r="D75" s="1"/>
    </row>
    <row r="78" ht="12.75">
      <c r="D78" s="1"/>
    </row>
    <row r="80" ht="12.75">
      <c r="D80" s="1"/>
    </row>
    <row r="81" ht="12.75">
      <c r="D81" s="1"/>
    </row>
    <row r="82" spans="3:4" ht="12.75">
      <c r="C82" s="1"/>
      <c r="D82" s="1"/>
    </row>
    <row r="85" ht="12.75">
      <c r="C85" s="1"/>
    </row>
    <row r="86" ht="12.75">
      <c r="D86" s="1"/>
    </row>
    <row r="87" ht="12.75">
      <c r="D87" s="1"/>
    </row>
    <row r="90" spans="3:4" ht="12.75">
      <c r="C90" s="1"/>
      <c r="D90" s="1"/>
    </row>
    <row r="91" ht="12.75">
      <c r="D91" s="1"/>
    </row>
    <row r="92" spans="3:4" ht="12.75">
      <c r="C92" s="1"/>
      <c r="D92" s="1"/>
    </row>
    <row r="95" ht="12.75">
      <c r="D95" s="1"/>
    </row>
    <row r="96" ht="12.75">
      <c r="D96" s="1"/>
    </row>
    <row r="98" ht="12.75">
      <c r="D98" s="1"/>
    </row>
    <row r="99" ht="12.75">
      <c r="D99" s="1"/>
    </row>
    <row r="102" ht="12.75">
      <c r="C102" s="1"/>
    </row>
    <row r="103" ht="12.75">
      <c r="D103" s="1"/>
    </row>
    <row r="105" ht="12.75">
      <c r="D105" s="1"/>
    </row>
    <row r="106" ht="12.75">
      <c r="C106" s="1"/>
    </row>
    <row r="110" ht="12.75">
      <c r="D110" s="1"/>
    </row>
    <row r="111" ht="12.75">
      <c r="D111" s="1"/>
    </row>
    <row r="112" ht="12.75">
      <c r="D112" s="1"/>
    </row>
    <row r="114" ht="12.75">
      <c r="C114" s="1"/>
    </row>
    <row r="116" ht="12.75">
      <c r="D116" s="1"/>
    </row>
    <row r="117" spans="3:4" ht="12.75">
      <c r="C117" s="1"/>
      <c r="D117" s="1"/>
    </row>
    <row r="118" ht="12.75">
      <c r="D118" s="1"/>
    </row>
    <row r="120" ht="12.75">
      <c r="D120" s="1"/>
    </row>
    <row r="122" spans="3:4" ht="12.75">
      <c r="C122" s="1"/>
      <c r="D122" s="1"/>
    </row>
    <row r="123" spans="3:4" ht="12.75">
      <c r="C123" s="1"/>
      <c r="D123" s="1"/>
    </row>
    <row r="124" ht="12.75">
      <c r="C124" s="1"/>
    </row>
    <row r="127" ht="12.75">
      <c r="D127" s="1"/>
    </row>
    <row r="128" spans="3:4" ht="12.75">
      <c r="C128" s="1"/>
      <c r="D128" s="1"/>
    </row>
    <row r="129" ht="12.75">
      <c r="D129" s="1"/>
    </row>
    <row r="131" ht="12.75">
      <c r="D131" s="1"/>
    </row>
    <row r="138" ht="12.75">
      <c r="D138" s="1"/>
    </row>
    <row r="139" ht="12.75">
      <c r="D139" s="1"/>
    </row>
    <row r="140" ht="12.75">
      <c r="D140" s="1"/>
    </row>
    <row r="142" ht="12.75">
      <c r="D142" s="1"/>
    </row>
    <row r="144" ht="12.75">
      <c r="D144" s="1"/>
    </row>
    <row r="145" ht="12.75">
      <c r="D145" s="1"/>
    </row>
    <row r="150" spans="3:4" ht="12.75">
      <c r="C150" s="1"/>
      <c r="D150" s="1"/>
    </row>
    <row r="151" ht="12.75">
      <c r="D151" s="1"/>
    </row>
    <row r="152" spans="3:4" ht="12.75">
      <c r="C152" s="1"/>
      <c r="D152" s="1"/>
    </row>
    <row r="155" ht="12.75">
      <c r="D155" s="1"/>
    </row>
    <row r="156" ht="12.75">
      <c r="D156" s="1"/>
    </row>
    <row r="158" ht="12.75">
      <c r="D158" s="1"/>
    </row>
  </sheetData>
  <sheetProtection/>
  <printOptions/>
  <pageMargins left="0.75" right="0.75" top="1" bottom="1" header="0.5" footer="0.5"/>
  <pageSetup fitToHeight="1" fitToWidth="1" horizontalDpi="600" verticalDpi="600" orientation="landscape" scale="24" r:id="rId1"/>
</worksheet>
</file>

<file path=xl/worksheets/sheet2.xml><?xml version="1.0" encoding="utf-8"?>
<worksheet xmlns="http://schemas.openxmlformats.org/spreadsheetml/2006/main" xmlns:r="http://schemas.openxmlformats.org/officeDocument/2006/relationships">
  <sheetPr codeName="Sheet5">
    <tabColor rgb="FF92D050"/>
  </sheetPr>
  <dimension ref="A1:AL53"/>
  <sheetViews>
    <sheetView zoomScalePageLayoutView="0" workbookViewId="0" topLeftCell="A1">
      <selection activeCell="C8" sqref="C8"/>
    </sheetView>
  </sheetViews>
  <sheetFormatPr defaultColWidth="9.33203125" defaultRowHeight="12.75"/>
  <cols>
    <col min="1" max="1" width="4.16015625" style="0" customWidth="1"/>
    <col min="2" max="2" width="47.16015625" style="0" customWidth="1"/>
    <col min="3" max="3" width="28" style="0" customWidth="1"/>
    <col min="4" max="4" width="8.33203125" style="0" hidden="1" customWidth="1"/>
    <col min="5" max="5" width="9.33203125" style="0" hidden="1" customWidth="1"/>
    <col min="6" max="6" width="14.16015625" style="0" hidden="1" customWidth="1"/>
    <col min="25" max="25" width="9.33203125" style="152" customWidth="1"/>
  </cols>
  <sheetData>
    <row r="1" spans="1:38" ht="12.75">
      <c r="A1" s="58"/>
      <c r="B1" s="58"/>
      <c r="C1" s="58"/>
      <c r="D1" s="58"/>
      <c r="E1" s="58"/>
      <c r="F1" s="58"/>
      <c r="G1" s="58"/>
      <c r="H1" s="58"/>
      <c r="I1" s="58"/>
      <c r="J1" s="58"/>
      <c r="K1" s="58"/>
      <c r="L1" s="58"/>
      <c r="M1" s="58"/>
      <c r="N1" s="58"/>
      <c r="O1" s="58"/>
      <c r="P1" s="58"/>
      <c r="Q1" s="58"/>
      <c r="R1" s="58"/>
      <c r="S1" s="58"/>
      <c r="T1" s="58"/>
      <c r="U1" s="58"/>
      <c r="V1" s="58"/>
      <c r="W1" s="58"/>
      <c r="X1" s="58"/>
      <c r="Y1" s="153"/>
      <c r="Z1" s="58"/>
      <c r="AA1" s="58"/>
      <c r="AB1" s="58"/>
      <c r="AC1" s="58"/>
      <c r="AD1" s="58"/>
      <c r="AE1" s="58"/>
      <c r="AF1" s="58"/>
      <c r="AG1" s="58"/>
      <c r="AH1" s="58"/>
      <c r="AI1" s="58"/>
      <c r="AJ1" s="58"/>
      <c r="AK1" s="58"/>
      <c r="AL1" s="58"/>
    </row>
    <row r="2" spans="1:38" ht="12.75">
      <c r="A2" s="58"/>
      <c r="B2" s="58"/>
      <c r="C2" s="58"/>
      <c r="D2" s="58"/>
      <c r="E2" s="58"/>
      <c r="F2" s="58"/>
      <c r="G2" s="58"/>
      <c r="H2" s="58"/>
      <c r="I2" s="58"/>
      <c r="J2" s="58"/>
      <c r="K2" s="58"/>
      <c r="L2" s="58"/>
      <c r="M2" s="58"/>
      <c r="N2" s="58"/>
      <c r="O2" s="58"/>
      <c r="P2" s="58"/>
      <c r="Q2" s="58"/>
      <c r="R2" s="58"/>
      <c r="S2" s="58"/>
      <c r="T2" s="58"/>
      <c r="U2" s="58"/>
      <c r="V2" s="58"/>
      <c r="W2" s="58"/>
      <c r="X2" s="58"/>
      <c r="Y2" s="153"/>
      <c r="Z2" s="58"/>
      <c r="AA2" s="58"/>
      <c r="AB2" s="58"/>
      <c r="AC2" s="58"/>
      <c r="AD2" s="58"/>
      <c r="AE2" s="58"/>
      <c r="AF2" s="58"/>
      <c r="AG2" s="58"/>
      <c r="AH2" s="58"/>
      <c r="AI2" s="58"/>
      <c r="AJ2" s="58"/>
      <c r="AK2" s="58"/>
      <c r="AL2" s="58"/>
    </row>
    <row r="3" spans="1:38" ht="22.5">
      <c r="A3" s="58"/>
      <c r="B3" s="81" t="s">
        <v>119</v>
      </c>
      <c r="C3" s="58"/>
      <c r="D3" s="58"/>
      <c r="E3" s="58"/>
      <c r="F3" s="58"/>
      <c r="G3" s="58"/>
      <c r="H3" s="58"/>
      <c r="I3" s="58"/>
      <c r="J3" s="58"/>
      <c r="K3" s="58"/>
      <c r="L3" s="58"/>
      <c r="M3" s="58"/>
      <c r="N3" s="58"/>
      <c r="O3" s="58"/>
      <c r="P3" s="58"/>
      <c r="Q3" s="58"/>
      <c r="R3" s="58"/>
      <c r="S3" s="58"/>
      <c r="T3" s="58"/>
      <c r="U3" s="58"/>
      <c r="V3" s="58"/>
      <c r="W3" s="58"/>
      <c r="X3" s="58"/>
      <c r="Y3" s="153"/>
      <c r="Z3" s="58"/>
      <c r="AA3" s="58"/>
      <c r="AB3" s="58"/>
      <c r="AC3" s="58"/>
      <c r="AD3" s="58"/>
      <c r="AE3" s="58"/>
      <c r="AF3" s="58"/>
      <c r="AG3" s="58"/>
      <c r="AH3" s="58"/>
      <c r="AI3" s="58"/>
      <c r="AJ3" s="58"/>
      <c r="AK3" s="58"/>
      <c r="AL3" s="58"/>
    </row>
    <row r="4" spans="1:38" ht="13.5" thickBot="1">
      <c r="A4" s="58"/>
      <c r="B4" s="58"/>
      <c r="C4" s="58"/>
      <c r="E4" s="58"/>
      <c r="F4" s="58"/>
      <c r="G4" s="58"/>
      <c r="H4" s="58"/>
      <c r="I4" s="58"/>
      <c r="J4" s="58"/>
      <c r="K4" s="58"/>
      <c r="L4" s="58"/>
      <c r="M4" s="58"/>
      <c r="N4" s="58"/>
      <c r="O4" s="58"/>
      <c r="P4" s="58"/>
      <c r="Q4" s="58"/>
      <c r="R4" s="58"/>
      <c r="S4" s="58"/>
      <c r="T4" s="58"/>
      <c r="U4" s="58"/>
      <c r="V4" s="58"/>
      <c r="W4" s="58"/>
      <c r="X4" s="58"/>
      <c r="Y4" s="154"/>
      <c r="Z4" s="58"/>
      <c r="AA4" s="58"/>
      <c r="AB4" s="58"/>
      <c r="AC4" s="58"/>
      <c r="AD4" s="58"/>
      <c r="AE4" s="58"/>
      <c r="AF4" s="58"/>
      <c r="AG4" s="58"/>
      <c r="AH4" s="58"/>
      <c r="AI4" s="58"/>
      <c r="AJ4" s="58"/>
      <c r="AK4" s="58"/>
      <c r="AL4" s="58"/>
    </row>
    <row r="5" spans="1:38" ht="12.75">
      <c r="A5" s="58"/>
      <c r="B5" s="82" t="s">
        <v>275</v>
      </c>
      <c r="C5" s="249"/>
      <c r="D5" s="8"/>
      <c r="E5" s="58"/>
      <c r="F5" s="58"/>
      <c r="G5" s="58"/>
      <c r="H5" s="58"/>
      <c r="I5" s="58"/>
      <c r="J5" s="58"/>
      <c r="K5" s="58"/>
      <c r="L5" s="58"/>
      <c r="M5" s="58"/>
      <c r="N5" s="58"/>
      <c r="O5" s="58"/>
      <c r="P5" s="58"/>
      <c r="Q5" s="58"/>
      <c r="R5" s="58"/>
      <c r="S5" s="58"/>
      <c r="T5" s="58"/>
      <c r="U5" s="58"/>
      <c r="V5" s="58"/>
      <c r="W5" s="58"/>
      <c r="X5" s="58"/>
      <c r="Y5" s="155" t="s">
        <v>8</v>
      </c>
      <c r="Z5" s="58"/>
      <c r="AA5" s="153">
        <v>1990</v>
      </c>
      <c r="AB5" s="58"/>
      <c r="AC5" s="58"/>
      <c r="AD5" s="58"/>
      <c r="AE5" s="58"/>
      <c r="AF5" s="58"/>
      <c r="AG5" s="58"/>
      <c r="AH5" s="58"/>
      <c r="AI5" s="58"/>
      <c r="AJ5" s="58"/>
      <c r="AK5" s="58"/>
      <c r="AL5" s="58"/>
    </row>
    <row r="6" spans="1:38" ht="12.75">
      <c r="A6" s="58"/>
      <c r="B6" s="82" t="s">
        <v>148</v>
      </c>
      <c r="C6" s="249"/>
      <c r="D6" s="9"/>
      <c r="E6" s="58"/>
      <c r="F6" s="58"/>
      <c r="G6" s="58"/>
      <c r="H6" s="58"/>
      <c r="I6" s="58"/>
      <c r="J6" s="58"/>
      <c r="K6" s="58"/>
      <c r="L6" s="58"/>
      <c r="M6" s="58"/>
      <c r="N6" s="58"/>
      <c r="O6" s="58"/>
      <c r="P6" s="58"/>
      <c r="Q6" s="58"/>
      <c r="R6" s="58"/>
      <c r="S6" s="58"/>
      <c r="T6" s="58"/>
      <c r="U6" s="58"/>
      <c r="V6" s="58"/>
      <c r="W6" s="58"/>
      <c r="X6" s="58"/>
      <c r="Y6" s="155" t="s">
        <v>9</v>
      </c>
      <c r="Z6" s="58"/>
      <c r="AA6" s="153">
        <v>1991</v>
      </c>
      <c r="AB6" s="58"/>
      <c r="AC6" s="58"/>
      <c r="AD6" s="58"/>
      <c r="AE6" s="58"/>
      <c r="AF6" s="58"/>
      <c r="AG6" s="58"/>
      <c r="AH6" s="58"/>
      <c r="AI6" s="58"/>
      <c r="AJ6" s="58"/>
      <c r="AK6" s="58"/>
      <c r="AL6" s="58"/>
    </row>
    <row r="7" spans="1:38" ht="12.75">
      <c r="A7" s="58"/>
      <c r="B7" s="82" t="s">
        <v>228</v>
      </c>
      <c r="C7" s="249"/>
      <c r="D7" s="9">
        <f>corpyear-1990+2</f>
        <v>-1988</v>
      </c>
      <c r="E7" s="9">
        <f>corpyear-2003+3</f>
        <v>-2000</v>
      </c>
      <c r="F7" s="80" t="b">
        <f>IF(corpyear&gt;2010,TRUE,FALSE)</f>
        <v>0</v>
      </c>
      <c r="G7" s="58"/>
      <c r="H7" s="58"/>
      <c r="I7" s="58"/>
      <c r="J7" s="58"/>
      <c r="K7" s="58"/>
      <c r="L7" s="58"/>
      <c r="M7" s="58"/>
      <c r="N7" s="58"/>
      <c r="O7" s="58"/>
      <c r="P7" s="58"/>
      <c r="Q7" s="58"/>
      <c r="R7" s="58"/>
      <c r="S7" s="58"/>
      <c r="T7" s="58"/>
      <c r="U7" s="58"/>
      <c r="V7" s="58"/>
      <c r="W7" s="58"/>
      <c r="X7" s="58"/>
      <c r="Y7" s="155" t="s">
        <v>10</v>
      </c>
      <c r="Z7" s="58"/>
      <c r="AA7" s="153">
        <v>1992</v>
      </c>
      <c r="AB7" s="58"/>
      <c r="AC7" s="58"/>
      <c r="AD7" s="58"/>
      <c r="AE7" s="58"/>
      <c r="AF7" s="58"/>
      <c r="AG7" s="58"/>
      <c r="AH7" s="58"/>
      <c r="AI7" s="58"/>
      <c r="AJ7" s="58"/>
      <c r="AK7" s="58"/>
      <c r="AL7" s="58"/>
    </row>
    <row r="8" spans="1:38" ht="13.5" thickBot="1">
      <c r="A8" s="58"/>
      <c r="B8" s="82" t="s">
        <v>229</v>
      </c>
      <c r="C8" s="249"/>
      <c r="D8" s="10">
        <f>comyear-1990+2</f>
        <v>-1988</v>
      </c>
      <c r="E8" s="10">
        <f>comyear-2003+3</f>
        <v>-2000</v>
      </c>
      <c r="F8" s="80" t="b">
        <f>IF(comyear&gt;2010,TRUE,FALSE)</f>
        <v>0</v>
      </c>
      <c r="G8" s="58"/>
      <c r="H8" s="58"/>
      <c r="I8" s="58"/>
      <c r="J8" s="58"/>
      <c r="K8" s="58"/>
      <c r="L8" s="58"/>
      <c r="M8" s="58"/>
      <c r="N8" s="58"/>
      <c r="O8" s="58"/>
      <c r="P8" s="58"/>
      <c r="Q8" s="58"/>
      <c r="R8" s="58"/>
      <c r="S8" s="58"/>
      <c r="T8" s="58"/>
      <c r="U8" s="58"/>
      <c r="V8" s="58"/>
      <c r="W8" s="58"/>
      <c r="X8" s="58"/>
      <c r="Y8" s="155" t="s">
        <v>11</v>
      </c>
      <c r="Z8" s="58"/>
      <c r="AA8" s="153">
        <v>1993</v>
      </c>
      <c r="AB8" s="58"/>
      <c r="AC8" s="58"/>
      <c r="AD8" s="58"/>
      <c r="AE8" s="58"/>
      <c r="AF8" s="58"/>
      <c r="AG8" s="58"/>
      <c r="AH8" s="58"/>
      <c r="AI8" s="58"/>
      <c r="AJ8" s="58"/>
      <c r="AK8" s="58"/>
      <c r="AL8" s="58"/>
    </row>
    <row r="9" spans="1:38" ht="12.75">
      <c r="A9" s="58"/>
      <c r="B9" s="58"/>
      <c r="C9" s="58"/>
      <c r="D9" s="58"/>
      <c r="E9" s="58"/>
      <c r="F9" s="58"/>
      <c r="G9" s="58"/>
      <c r="H9" s="58"/>
      <c r="I9" s="58"/>
      <c r="J9" s="58"/>
      <c r="K9" s="58"/>
      <c r="L9" s="58"/>
      <c r="M9" s="58"/>
      <c r="N9" s="58"/>
      <c r="O9" s="58"/>
      <c r="P9" s="58"/>
      <c r="Q9" s="58"/>
      <c r="R9" s="58"/>
      <c r="S9" s="58"/>
      <c r="T9" s="58"/>
      <c r="U9" s="58"/>
      <c r="V9" s="58"/>
      <c r="W9" s="58"/>
      <c r="X9" s="58"/>
      <c r="Y9" s="155" t="s">
        <v>178</v>
      </c>
      <c r="Z9" s="58"/>
      <c r="AA9" s="153">
        <v>1994</v>
      </c>
      <c r="AB9" s="58"/>
      <c r="AC9" s="58"/>
      <c r="AD9" s="58"/>
      <c r="AE9" s="58"/>
      <c r="AF9" s="58"/>
      <c r="AG9" s="58"/>
      <c r="AH9" s="58"/>
      <c r="AI9" s="58"/>
      <c r="AJ9" s="58"/>
      <c r="AK9" s="58"/>
      <c r="AL9" s="58"/>
    </row>
    <row r="10" spans="1:38" ht="12.75">
      <c r="A10" s="58"/>
      <c r="B10" s="80" t="str">
        <f>IF(OR(F8,F7)=FALSE," ","Please note that 2010 will be use for the electricity intensities as the 2011 and 2012 data are not available at this time.")</f>
        <v> </v>
      </c>
      <c r="C10" s="58"/>
      <c r="D10" s="58"/>
      <c r="E10" s="58"/>
      <c r="F10" s="58"/>
      <c r="G10" s="58"/>
      <c r="H10" s="58"/>
      <c r="I10" s="58"/>
      <c r="J10" s="58"/>
      <c r="K10" s="58"/>
      <c r="L10" s="58"/>
      <c r="M10" s="58"/>
      <c r="N10" s="58"/>
      <c r="O10" s="58"/>
      <c r="P10" s="58"/>
      <c r="Q10" s="58"/>
      <c r="R10" s="58"/>
      <c r="S10" s="58"/>
      <c r="T10" s="58"/>
      <c r="U10" s="58"/>
      <c r="V10" s="58"/>
      <c r="W10" s="58"/>
      <c r="X10" s="58"/>
      <c r="Y10" s="155" t="s">
        <v>13</v>
      </c>
      <c r="Z10" s="58"/>
      <c r="AA10" s="153">
        <v>1995</v>
      </c>
      <c r="AB10" s="58"/>
      <c r="AC10" s="58"/>
      <c r="AD10" s="58"/>
      <c r="AE10" s="58"/>
      <c r="AF10" s="58"/>
      <c r="AG10" s="58"/>
      <c r="AH10" s="58"/>
      <c r="AI10" s="58"/>
      <c r="AJ10" s="58"/>
      <c r="AK10" s="58"/>
      <c r="AL10" s="58"/>
    </row>
    <row r="11" spans="1:38" ht="12.75">
      <c r="A11" s="58"/>
      <c r="B11" s="80">
        <f>IF(OR(F8,F7)=FALSE,"","Newer emission factors can be entered in the Emission Factor tab")</f>
      </c>
      <c r="C11" s="58"/>
      <c r="D11" s="58"/>
      <c r="E11" s="58"/>
      <c r="F11" s="58"/>
      <c r="G11" s="58"/>
      <c r="H11" s="58"/>
      <c r="I11" s="58"/>
      <c r="J11" s="58"/>
      <c r="K11" s="58"/>
      <c r="L11" s="58"/>
      <c r="M11" s="58"/>
      <c r="N11" s="58"/>
      <c r="O11" s="58"/>
      <c r="P11" s="58"/>
      <c r="Q11" s="58"/>
      <c r="R11" s="58"/>
      <c r="S11" s="58"/>
      <c r="T11" s="58"/>
      <c r="U11" s="58"/>
      <c r="V11" s="58"/>
      <c r="W11" s="58"/>
      <c r="X11" s="58"/>
      <c r="Y11" s="155" t="s">
        <v>14</v>
      </c>
      <c r="Z11" s="58"/>
      <c r="AA11" s="153">
        <v>1996</v>
      </c>
      <c r="AB11" s="58"/>
      <c r="AC11" s="58"/>
      <c r="AD11" s="58"/>
      <c r="AE11" s="58"/>
      <c r="AF11" s="58"/>
      <c r="AG11" s="58"/>
      <c r="AH11" s="58"/>
      <c r="AI11" s="58"/>
      <c r="AJ11" s="58"/>
      <c r="AK11" s="58"/>
      <c r="AL11" s="58"/>
    </row>
    <row r="12" spans="1:38" ht="12.75">
      <c r="A12" s="58"/>
      <c r="B12" s="58"/>
      <c r="C12" s="58"/>
      <c r="D12" s="58"/>
      <c r="E12" s="58"/>
      <c r="F12" s="58"/>
      <c r="G12" s="58"/>
      <c r="H12" s="58"/>
      <c r="I12" s="58"/>
      <c r="J12" s="58"/>
      <c r="K12" s="58"/>
      <c r="L12" s="58"/>
      <c r="M12" s="58"/>
      <c r="N12" s="58"/>
      <c r="O12" s="58"/>
      <c r="P12" s="58"/>
      <c r="Q12" s="58"/>
      <c r="R12" s="58"/>
      <c r="S12" s="58"/>
      <c r="T12" s="58"/>
      <c r="U12" s="58"/>
      <c r="V12" s="58"/>
      <c r="W12" s="58"/>
      <c r="X12" s="58"/>
      <c r="Y12" s="155" t="s">
        <v>15</v>
      </c>
      <c r="Z12" s="58"/>
      <c r="AA12" s="153">
        <v>1997</v>
      </c>
      <c r="AB12" s="58"/>
      <c r="AC12" s="58"/>
      <c r="AD12" s="58"/>
      <c r="AE12" s="58"/>
      <c r="AF12" s="58"/>
      <c r="AG12" s="58"/>
      <c r="AH12" s="58"/>
      <c r="AI12" s="58"/>
      <c r="AJ12" s="58"/>
      <c r="AK12" s="58"/>
      <c r="AL12" s="58"/>
    </row>
    <row r="13" spans="1:38" ht="12.75">
      <c r="A13" s="58"/>
      <c r="B13" s="58"/>
      <c r="C13" s="58"/>
      <c r="D13" s="58"/>
      <c r="E13" s="58"/>
      <c r="F13" s="58"/>
      <c r="G13" s="58"/>
      <c r="H13" s="58"/>
      <c r="I13" s="58"/>
      <c r="J13" s="58"/>
      <c r="K13" s="58"/>
      <c r="L13" s="58"/>
      <c r="M13" s="58"/>
      <c r="N13" s="58"/>
      <c r="O13" s="58"/>
      <c r="P13" s="58"/>
      <c r="Q13" s="58"/>
      <c r="R13" s="58"/>
      <c r="S13" s="58"/>
      <c r="T13" s="58"/>
      <c r="U13" s="58"/>
      <c r="V13" s="58"/>
      <c r="W13" s="58"/>
      <c r="X13" s="58"/>
      <c r="Y13" s="155" t="s">
        <v>16</v>
      </c>
      <c r="Z13" s="58"/>
      <c r="AA13" s="153">
        <v>1998</v>
      </c>
      <c r="AB13" s="58"/>
      <c r="AC13" s="58"/>
      <c r="AD13" s="58"/>
      <c r="AE13" s="58"/>
      <c r="AF13" s="58"/>
      <c r="AG13" s="58"/>
      <c r="AH13" s="58"/>
      <c r="AI13" s="58"/>
      <c r="AJ13" s="58"/>
      <c r="AK13" s="58"/>
      <c r="AL13" s="58"/>
    </row>
    <row r="14" spans="1:38" ht="12.75">
      <c r="A14" s="58"/>
      <c r="B14" s="58"/>
      <c r="C14" s="58"/>
      <c r="D14" s="58"/>
      <c r="E14" s="58"/>
      <c r="F14" s="58"/>
      <c r="G14" s="58"/>
      <c r="H14" s="58"/>
      <c r="I14" s="58"/>
      <c r="J14" s="58"/>
      <c r="K14" s="58"/>
      <c r="L14" s="58"/>
      <c r="M14" s="58"/>
      <c r="N14" s="58"/>
      <c r="O14" s="58"/>
      <c r="P14" s="58"/>
      <c r="Q14" s="58"/>
      <c r="R14" s="58"/>
      <c r="S14" s="58"/>
      <c r="T14" s="58"/>
      <c r="U14" s="58"/>
      <c r="V14" s="58"/>
      <c r="W14" s="58"/>
      <c r="X14" s="58"/>
      <c r="Y14" s="155" t="s">
        <v>17</v>
      </c>
      <c r="Z14" s="58"/>
      <c r="AA14" s="153">
        <v>1999</v>
      </c>
      <c r="AB14" s="58"/>
      <c r="AC14" s="58"/>
      <c r="AD14" s="58"/>
      <c r="AE14" s="58"/>
      <c r="AF14" s="58"/>
      <c r="AG14" s="58"/>
      <c r="AH14" s="58"/>
      <c r="AI14" s="58"/>
      <c r="AJ14" s="58"/>
      <c r="AK14" s="58"/>
      <c r="AL14" s="58"/>
    </row>
    <row r="15" spans="1:38" ht="12.75">
      <c r="A15" s="58"/>
      <c r="B15" s="58"/>
      <c r="C15" s="58"/>
      <c r="D15" s="58"/>
      <c r="E15" s="58"/>
      <c r="F15" s="58"/>
      <c r="G15" s="58"/>
      <c r="H15" s="58"/>
      <c r="I15" s="58"/>
      <c r="J15" s="58"/>
      <c r="K15" s="58"/>
      <c r="L15" s="58"/>
      <c r="M15" s="58"/>
      <c r="N15" s="58"/>
      <c r="O15" s="58"/>
      <c r="P15" s="58"/>
      <c r="Q15" s="58"/>
      <c r="R15" s="58"/>
      <c r="S15" s="58"/>
      <c r="T15" s="58"/>
      <c r="U15" s="58"/>
      <c r="V15" s="58"/>
      <c r="W15" s="58"/>
      <c r="X15" s="58"/>
      <c r="Y15" s="155" t="s">
        <v>18</v>
      </c>
      <c r="Z15" s="58"/>
      <c r="AA15" s="153">
        <v>2000</v>
      </c>
      <c r="AB15" s="58"/>
      <c r="AC15" s="58"/>
      <c r="AD15" s="58"/>
      <c r="AE15" s="58"/>
      <c r="AF15" s="58"/>
      <c r="AG15" s="58"/>
      <c r="AH15" s="58"/>
      <c r="AI15" s="58"/>
      <c r="AJ15" s="58"/>
      <c r="AK15" s="58"/>
      <c r="AL15" s="58"/>
    </row>
    <row r="16" spans="1:38" ht="12.75">
      <c r="A16" s="58"/>
      <c r="B16" s="58"/>
      <c r="C16" s="58"/>
      <c r="D16" s="58"/>
      <c r="E16" s="58"/>
      <c r="F16" s="58"/>
      <c r="G16" s="58"/>
      <c r="H16" s="58"/>
      <c r="I16" s="58"/>
      <c r="J16" s="58"/>
      <c r="K16" s="58"/>
      <c r="L16" s="58"/>
      <c r="M16" s="58"/>
      <c r="N16" s="58"/>
      <c r="O16" s="58"/>
      <c r="P16" s="58"/>
      <c r="Q16" s="58"/>
      <c r="R16" s="58"/>
      <c r="S16" s="58"/>
      <c r="T16" s="58"/>
      <c r="U16" s="58"/>
      <c r="V16" s="58"/>
      <c r="W16" s="58"/>
      <c r="X16" s="58"/>
      <c r="Y16" s="155" t="s">
        <v>19</v>
      </c>
      <c r="Z16" s="58"/>
      <c r="AA16" s="153">
        <v>2001</v>
      </c>
      <c r="AB16" s="58"/>
      <c r="AC16" s="58"/>
      <c r="AD16" s="58"/>
      <c r="AE16" s="58"/>
      <c r="AF16" s="58"/>
      <c r="AG16" s="58"/>
      <c r="AH16" s="58"/>
      <c r="AI16" s="58"/>
      <c r="AJ16" s="58"/>
      <c r="AK16" s="58"/>
      <c r="AL16" s="58"/>
    </row>
    <row r="17" spans="1:38" ht="12.75">
      <c r="A17" s="58"/>
      <c r="B17" s="58"/>
      <c r="C17" s="58"/>
      <c r="D17" s="58"/>
      <c r="E17" s="58"/>
      <c r="F17" s="58"/>
      <c r="G17" s="58"/>
      <c r="H17" s="58"/>
      <c r="I17" s="58"/>
      <c r="J17" s="58"/>
      <c r="K17" s="58"/>
      <c r="L17" s="58"/>
      <c r="M17" s="58"/>
      <c r="N17" s="58"/>
      <c r="O17" s="58"/>
      <c r="P17" s="58"/>
      <c r="Q17" s="58"/>
      <c r="R17" s="58"/>
      <c r="S17" s="58"/>
      <c r="T17" s="58"/>
      <c r="U17" s="58"/>
      <c r="V17" s="58"/>
      <c r="W17" s="58"/>
      <c r="X17" s="58"/>
      <c r="Y17" s="155" t="s">
        <v>67</v>
      </c>
      <c r="Z17" s="58"/>
      <c r="AA17" s="153">
        <v>2002</v>
      </c>
      <c r="AB17" s="58"/>
      <c r="AC17" s="58"/>
      <c r="AD17" s="58"/>
      <c r="AE17" s="58"/>
      <c r="AF17" s="58"/>
      <c r="AG17" s="58"/>
      <c r="AH17" s="58"/>
      <c r="AI17" s="58"/>
      <c r="AJ17" s="58"/>
      <c r="AK17" s="58"/>
      <c r="AL17" s="58"/>
    </row>
    <row r="18" spans="1:38" ht="12.75">
      <c r="A18" s="58"/>
      <c r="B18" s="58"/>
      <c r="C18" s="58"/>
      <c r="D18" s="58"/>
      <c r="E18" s="58"/>
      <c r="F18" s="58"/>
      <c r="G18" s="58"/>
      <c r="H18" s="58"/>
      <c r="I18" s="58"/>
      <c r="J18" s="58"/>
      <c r="K18" s="58"/>
      <c r="L18" s="58"/>
      <c r="M18" s="58"/>
      <c r="N18" s="58"/>
      <c r="O18" s="58"/>
      <c r="P18" s="58"/>
      <c r="Q18" s="58"/>
      <c r="R18" s="58"/>
      <c r="S18" s="58"/>
      <c r="T18" s="58"/>
      <c r="U18" s="58"/>
      <c r="V18" s="58"/>
      <c r="W18" s="58"/>
      <c r="X18" s="58"/>
      <c r="Y18" s="154"/>
      <c r="Z18" s="58"/>
      <c r="AA18" s="153">
        <v>2003</v>
      </c>
      <c r="AB18" s="58"/>
      <c r="AC18" s="58"/>
      <c r="AD18" s="58"/>
      <c r="AE18" s="58"/>
      <c r="AF18" s="58"/>
      <c r="AG18" s="58"/>
      <c r="AH18" s="58"/>
      <c r="AI18" s="58"/>
      <c r="AJ18" s="58"/>
      <c r="AK18" s="58"/>
      <c r="AL18" s="58"/>
    </row>
    <row r="19" spans="1:38" ht="12.75">
      <c r="A19" s="58"/>
      <c r="B19" s="58"/>
      <c r="C19" s="58"/>
      <c r="D19" s="58"/>
      <c r="E19" s="58"/>
      <c r="F19" s="58"/>
      <c r="G19" s="58"/>
      <c r="H19" s="58"/>
      <c r="I19" s="58"/>
      <c r="J19" s="58"/>
      <c r="K19" s="58"/>
      <c r="L19" s="58"/>
      <c r="M19" s="58"/>
      <c r="N19" s="58"/>
      <c r="O19" s="58"/>
      <c r="P19" s="58"/>
      <c r="Q19" s="58"/>
      <c r="R19" s="58"/>
      <c r="S19" s="58"/>
      <c r="T19" s="58"/>
      <c r="U19" s="58"/>
      <c r="V19" s="58"/>
      <c r="W19" s="58"/>
      <c r="X19" s="58"/>
      <c r="Y19" s="153"/>
      <c r="Z19" s="58"/>
      <c r="AA19" s="153">
        <v>2004</v>
      </c>
      <c r="AB19" s="58"/>
      <c r="AC19" s="58"/>
      <c r="AD19" s="58"/>
      <c r="AE19" s="58"/>
      <c r="AF19" s="58"/>
      <c r="AG19" s="58"/>
      <c r="AH19" s="58"/>
      <c r="AI19" s="58"/>
      <c r="AJ19" s="58"/>
      <c r="AK19" s="58"/>
      <c r="AL19" s="58"/>
    </row>
    <row r="20" spans="1:38" ht="12.75">
      <c r="A20" s="58"/>
      <c r="B20" s="58"/>
      <c r="C20" s="58"/>
      <c r="D20" s="58"/>
      <c r="E20" s="58"/>
      <c r="F20" s="58"/>
      <c r="G20" s="58"/>
      <c r="H20" s="58"/>
      <c r="I20" s="58"/>
      <c r="J20" s="58"/>
      <c r="K20" s="58"/>
      <c r="L20" s="58"/>
      <c r="M20" s="58"/>
      <c r="N20" s="58"/>
      <c r="O20" s="58"/>
      <c r="P20" s="58"/>
      <c r="Q20" s="58"/>
      <c r="R20" s="58"/>
      <c r="S20" s="58"/>
      <c r="T20" s="58"/>
      <c r="U20" s="58"/>
      <c r="V20" s="58"/>
      <c r="W20" s="58"/>
      <c r="X20" s="58"/>
      <c r="Y20" s="153"/>
      <c r="Z20" s="58"/>
      <c r="AA20" s="153">
        <v>2005</v>
      </c>
      <c r="AB20" s="58"/>
      <c r="AC20" s="58"/>
      <c r="AD20" s="58"/>
      <c r="AE20" s="58"/>
      <c r="AF20" s="58"/>
      <c r="AG20" s="58"/>
      <c r="AH20" s="58"/>
      <c r="AI20" s="58"/>
      <c r="AJ20" s="58"/>
      <c r="AK20" s="58"/>
      <c r="AL20" s="58"/>
    </row>
    <row r="21" spans="1:38" ht="12.75">
      <c r="A21" s="58"/>
      <c r="B21" s="58"/>
      <c r="C21" s="58"/>
      <c r="D21" s="58"/>
      <c r="E21" s="58"/>
      <c r="F21" s="58"/>
      <c r="G21" s="58"/>
      <c r="H21" s="58"/>
      <c r="I21" s="58"/>
      <c r="J21" s="58"/>
      <c r="K21" s="58"/>
      <c r="L21" s="58"/>
      <c r="M21" s="58"/>
      <c r="N21" s="58"/>
      <c r="O21" s="58"/>
      <c r="P21" s="58"/>
      <c r="Q21" s="58"/>
      <c r="R21" s="58"/>
      <c r="S21" s="58"/>
      <c r="T21" s="58"/>
      <c r="U21" s="58"/>
      <c r="V21" s="58"/>
      <c r="W21" s="58"/>
      <c r="X21" s="58"/>
      <c r="Y21" s="153"/>
      <c r="Z21" s="58"/>
      <c r="AA21" s="153">
        <v>2006</v>
      </c>
      <c r="AB21" s="58"/>
      <c r="AC21" s="58"/>
      <c r="AD21" s="58"/>
      <c r="AE21" s="58"/>
      <c r="AF21" s="58"/>
      <c r="AG21" s="58"/>
      <c r="AH21" s="58"/>
      <c r="AI21" s="58"/>
      <c r="AJ21" s="58"/>
      <c r="AK21" s="58"/>
      <c r="AL21" s="58"/>
    </row>
    <row r="22" spans="1:38" ht="12.75">
      <c r="A22" s="58"/>
      <c r="B22" s="58"/>
      <c r="C22" s="58"/>
      <c r="D22" s="58"/>
      <c r="E22" s="58"/>
      <c r="F22" s="58"/>
      <c r="G22" s="58"/>
      <c r="H22" s="58"/>
      <c r="I22" s="58"/>
      <c r="J22" s="58"/>
      <c r="K22" s="58"/>
      <c r="L22" s="58"/>
      <c r="M22" s="58"/>
      <c r="N22" s="58"/>
      <c r="O22" s="58"/>
      <c r="P22" s="58"/>
      <c r="Q22" s="58"/>
      <c r="R22" s="58"/>
      <c r="S22" s="58"/>
      <c r="T22" s="58"/>
      <c r="U22" s="58"/>
      <c r="V22" s="58"/>
      <c r="W22" s="58"/>
      <c r="X22" s="58"/>
      <c r="Y22" s="153"/>
      <c r="Z22" s="58"/>
      <c r="AA22" s="153">
        <v>2007</v>
      </c>
      <c r="AB22" s="58"/>
      <c r="AC22" s="58"/>
      <c r="AD22" s="58"/>
      <c r="AE22" s="58"/>
      <c r="AF22" s="58"/>
      <c r="AG22" s="58"/>
      <c r="AH22" s="58"/>
      <c r="AI22" s="58"/>
      <c r="AJ22" s="58"/>
      <c r="AK22" s="58"/>
      <c r="AL22" s="58"/>
    </row>
    <row r="23" spans="1:38" ht="12.75">
      <c r="A23" s="58"/>
      <c r="B23" s="58"/>
      <c r="C23" s="58"/>
      <c r="D23" s="58"/>
      <c r="E23" s="58"/>
      <c r="F23" s="58"/>
      <c r="G23" s="58"/>
      <c r="H23" s="58"/>
      <c r="I23" s="58"/>
      <c r="J23" s="58"/>
      <c r="K23" s="58"/>
      <c r="L23" s="58"/>
      <c r="M23" s="58"/>
      <c r="N23" s="58"/>
      <c r="O23" s="58"/>
      <c r="P23" s="58"/>
      <c r="Q23" s="58"/>
      <c r="R23" s="58"/>
      <c r="S23" s="58"/>
      <c r="T23" s="58"/>
      <c r="U23" s="58"/>
      <c r="V23" s="58"/>
      <c r="W23" s="58"/>
      <c r="X23" s="58"/>
      <c r="Y23" s="153"/>
      <c r="Z23" s="58"/>
      <c r="AA23" s="153">
        <v>2008</v>
      </c>
      <c r="AB23" s="58"/>
      <c r="AC23" s="58"/>
      <c r="AD23" s="58"/>
      <c r="AE23" s="58"/>
      <c r="AF23" s="58"/>
      <c r="AG23" s="58"/>
      <c r="AH23" s="58"/>
      <c r="AI23" s="58"/>
      <c r="AJ23" s="58"/>
      <c r="AK23" s="58"/>
      <c r="AL23" s="58"/>
    </row>
    <row r="24" spans="1:38" ht="12.75">
      <c r="A24" s="58"/>
      <c r="B24" s="58"/>
      <c r="C24" s="58"/>
      <c r="D24" s="58"/>
      <c r="E24" s="58"/>
      <c r="F24" s="58"/>
      <c r="G24" s="58"/>
      <c r="H24" s="58"/>
      <c r="I24" s="58"/>
      <c r="J24" s="58"/>
      <c r="K24" s="58"/>
      <c r="L24" s="58"/>
      <c r="M24" s="58"/>
      <c r="N24" s="58"/>
      <c r="O24" s="58"/>
      <c r="P24" s="58"/>
      <c r="Q24" s="58"/>
      <c r="R24" s="58"/>
      <c r="S24" s="58"/>
      <c r="T24" s="58"/>
      <c r="U24" s="58"/>
      <c r="V24" s="58"/>
      <c r="W24" s="58"/>
      <c r="X24" s="58"/>
      <c r="Y24" s="153"/>
      <c r="Z24" s="58"/>
      <c r="AA24" s="153">
        <v>2009</v>
      </c>
      <c r="AB24" s="58"/>
      <c r="AC24" s="58"/>
      <c r="AD24" s="58"/>
      <c r="AE24" s="58"/>
      <c r="AF24" s="58"/>
      <c r="AG24" s="58"/>
      <c r="AH24" s="58"/>
      <c r="AI24" s="58"/>
      <c r="AJ24" s="58"/>
      <c r="AK24" s="58"/>
      <c r="AL24" s="58"/>
    </row>
    <row r="25" spans="1:38" ht="12.75">
      <c r="A25" s="58"/>
      <c r="B25" s="58"/>
      <c r="C25" s="58"/>
      <c r="D25" s="58"/>
      <c r="E25" s="58"/>
      <c r="F25" s="58"/>
      <c r="G25" s="58"/>
      <c r="H25" s="58"/>
      <c r="I25" s="58"/>
      <c r="J25" s="58"/>
      <c r="K25" s="58"/>
      <c r="L25" s="58"/>
      <c r="M25" s="58"/>
      <c r="N25" s="58"/>
      <c r="O25" s="58"/>
      <c r="P25" s="58"/>
      <c r="Q25" s="58"/>
      <c r="R25" s="58"/>
      <c r="S25" s="58"/>
      <c r="T25" s="58"/>
      <c r="U25" s="58"/>
      <c r="V25" s="58"/>
      <c r="W25" s="58"/>
      <c r="X25" s="58"/>
      <c r="Y25" s="153"/>
      <c r="Z25" s="58"/>
      <c r="AA25" s="153">
        <v>2010</v>
      </c>
      <c r="AB25" s="58"/>
      <c r="AC25" s="58"/>
      <c r="AD25" s="58"/>
      <c r="AE25" s="58"/>
      <c r="AF25" s="58"/>
      <c r="AG25" s="58"/>
      <c r="AH25" s="58"/>
      <c r="AI25" s="58"/>
      <c r="AJ25" s="58"/>
      <c r="AK25" s="58"/>
      <c r="AL25" s="58"/>
    </row>
    <row r="26" spans="1:38" ht="12.75">
      <c r="A26" s="58"/>
      <c r="B26" s="58"/>
      <c r="C26" s="58"/>
      <c r="D26" s="58"/>
      <c r="E26" s="58"/>
      <c r="F26" s="58"/>
      <c r="G26" s="58"/>
      <c r="H26" s="58"/>
      <c r="I26" s="58"/>
      <c r="J26" s="58"/>
      <c r="K26" s="58"/>
      <c r="L26" s="58"/>
      <c r="M26" s="58"/>
      <c r="N26" s="58"/>
      <c r="O26" s="58"/>
      <c r="P26" s="58"/>
      <c r="Q26" s="58"/>
      <c r="R26" s="58"/>
      <c r="S26" s="58"/>
      <c r="T26" s="58"/>
      <c r="U26" s="58"/>
      <c r="V26" s="58"/>
      <c r="W26" s="58"/>
      <c r="X26" s="58"/>
      <c r="Y26" s="153"/>
      <c r="Z26" s="58"/>
      <c r="AA26" s="153">
        <v>2011</v>
      </c>
      <c r="AB26" s="58"/>
      <c r="AC26" s="58"/>
      <c r="AD26" s="58"/>
      <c r="AE26" s="58"/>
      <c r="AF26" s="58"/>
      <c r="AG26" s="58"/>
      <c r="AH26" s="58"/>
      <c r="AI26" s="58"/>
      <c r="AJ26" s="58"/>
      <c r="AK26" s="58"/>
      <c r="AL26" s="58"/>
    </row>
    <row r="27" spans="1:38" ht="12.75">
      <c r="A27" s="58"/>
      <c r="B27" s="58"/>
      <c r="C27" s="58"/>
      <c r="D27" s="58"/>
      <c r="E27" s="58"/>
      <c r="F27" s="58"/>
      <c r="G27" s="58"/>
      <c r="H27" s="58"/>
      <c r="I27" s="58"/>
      <c r="J27" s="58"/>
      <c r="K27" s="58"/>
      <c r="L27" s="58"/>
      <c r="M27" s="58"/>
      <c r="N27" s="58"/>
      <c r="O27" s="58"/>
      <c r="P27" s="58"/>
      <c r="Q27" s="58"/>
      <c r="R27" s="58"/>
      <c r="S27" s="58"/>
      <c r="T27" s="58"/>
      <c r="U27" s="58"/>
      <c r="V27" s="58"/>
      <c r="W27" s="58"/>
      <c r="X27" s="58"/>
      <c r="Y27" s="153"/>
      <c r="Z27" s="58"/>
      <c r="AA27" s="153">
        <v>2012</v>
      </c>
      <c r="AB27" s="58"/>
      <c r="AC27" s="58"/>
      <c r="AD27" s="58"/>
      <c r="AE27" s="58"/>
      <c r="AF27" s="58"/>
      <c r="AG27" s="58"/>
      <c r="AH27" s="58"/>
      <c r="AI27" s="58"/>
      <c r="AJ27" s="58"/>
      <c r="AK27" s="58"/>
      <c r="AL27" s="58"/>
    </row>
    <row r="28" spans="1:38" ht="12.75">
      <c r="A28" s="58"/>
      <c r="B28" s="58"/>
      <c r="C28" s="58"/>
      <c r="D28" s="58"/>
      <c r="E28" s="58"/>
      <c r="F28" s="58"/>
      <c r="G28" s="58"/>
      <c r="H28" s="58"/>
      <c r="I28" s="58"/>
      <c r="J28" s="58"/>
      <c r="K28" s="58"/>
      <c r="L28" s="58"/>
      <c r="M28" s="58"/>
      <c r="N28" s="58"/>
      <c r="O28" s="58"/>
      <c r="P28" s="58"/>
      <c r="Q28" s="58"/>
      <c r="R28" s="58"/>
      <c r="S28" s="58"/>
      <c r="T28" s="58"/>
      <c r="U28" s="58"/>
      <c r="V28" s="58"/>
      <c r="W28" s="58"/>
      <c r="X28" s="58"/>
      <c r="Y28" s="153"/>
      <c r="Z28" s="58"/>
      <c r="AA28" s="58"/>
      <c r="AB28" s="58"/>
      <c r="AC28" s="58"/>
      <c r="AD28" s="58"/>
      <c r="AE28" s="58"/>
      <c r="AF28" s="58"/>
      <c r="AG28" s="58"/>
      <c r="AH28" s="58"/>
      <c r="AI28" s="58"/>
      <c r="AJ28" s="58"/>
      <c r="AK28" s="58"/>
      <c r="AL28" s="58"/>
    </row>
    <row r="29" spans="1:38" ht="12.75">
      <c r="A29" s="58"/>
      <c r="B29" s="58"/>
      <c r="C29" s="58"/>
      <c r="D29" s="58"/>
      <c r="E29" s="58"/>
      <c r="F29" s="58"/>
      <c r="G29" s="58"/>
      <c r="H29" s="58"/>
      <c r="I29" s="58"/>
      <c r="J29" s="58"/>
      <c r="K29" s="58"/>
      <c r="L29" s="58"/>
      <c r="M29" s="58"/>
      <c r="N29" s="58"/>
      <c r="O29" s="58"/>
      <c r="P29" s="58"/>
      <c r="Q29" s="58"/>
      <c r="R29" s="58"/>
      <c r="S29" s="58"/>
      <c r="T29" s="58"/>
      <c r="U29" s="58"/>
      <c r="V29" s="58"/>
      <c r="W29" s="58"/>
      <c r="X29" s="58"/>
      <c r="Y29" s="153"/>
      <c r="Z29" s="58"/>
      <c r="AA29" s="58"/>
      <c r="AB29" s="58"/>
      <c r="AC29" s="58"/>
      <c r="AD29" s="58"/>
      <c r="AE29" s="58"/>
      <c r="AF29" s="58"/>
      <c r="AG29" s="58"/>
      <c r="AH29" s="58"/>
      <c r="AI29" s="58"/>
      <c r="AJ29" s="58"/>
      <c r="AK29" s="58"/>
      <c r="AL29" s="58"/>
    </row>
    <row r="30" spans="1:38" ht="12.75">
      <c r="A30" s="58"/>
      <c r="B30" s="58"/>
      <c r="C30" s="58"/>
      <c r="D30" s="58"/>
      <c r="E30" s="58"/>
      <c r="F30" s="58"/>
      <c r="G30" s="58"/>
      <c r="H30" s="58"/>
      <c r="I30" s="58"/>
      <c r="J30" s="58"/>
      <c r="K30" s="58"/>
      <c r="L30" s="58"/>
      <c r="M30" s="58"/>
      <c r="N30" s="58"/>
      <c r="O30" s="58"/>
      <c r="P30" s="58"/>
      <c r="Q30" s="58"/>
      <c r="R30" s="58"/>
      <c r="S30" s="58"/>
      <c r="T30" s="58"/>
      <c r="U30" s="58"/>
      <c r="V30" s="58"/>
      <c r="W30" s="58"/>
      <c r="X30" s="58"/>
      <c r="Y30" s="153"/>
      <c r="Z30" s="58"/>
      <c r="AA30" s="58"/>
      <c r="AB30" s="58"/>
      <c r="AC30" s="58"/>
      <c r="AD30" s="58"/>
      <c r="AE30" s="58"/>
      <c r="AF30" s="58"/>
      <c r="AG30" s="58"/>
      <c r="AH30" s="58"/>
      <c r="AI30" s="58"/>
      <c r="AJ30" s="58"/>
      <c r="AK30" s="58"/>
      <c r="AL30" s="58"/>
    </row>
    <row r="31" spans="1:38" ht="12.75">
      <c r="A31" s="58"/>
      <c r="B31" s="58"/>
      <c r="C31" s="58"/>
      <c r="D31" s="58"/>
      <c r="E31" s="58"/>
      <c r="F31" s="58"/>
      <c r="G31" s="58"/>
      <c r="H31" s="58"/>
      <c r="I31" s="58"/>
      <c r="J31" s="58"/>
      <c r="K31" s="58"/>
      <c r="L31" s="58"/>
      <c r="M31" s="58"/>
      <c r="N31" s="58"/>
      <c r="O31" s="58"/>
      <c r="P31" s="58"/>
      <c r="Q31" s="58"/>
      <c r="R31" s="58"/>
      <c r="S31" s="58"/>
      <c r="T31" s="58"/>
      <c r="U31" s="58"/>
      <c r="V31" s="58"/>
      <c r="W31" s="58"/>
      <c r="X31" s="58"/>
      <c r="Y31" s="153"/>
      <c r="Z31" s="58"/>
      <c r="AA31" s="58"/>
      <c r="AB31" s="58"/>
      <c r="AC31" s="58"/>
      <c r="AD31" s="58"/>
      <c r="AE31" s="58"/>
      <c r="AF31" s="58"/>
      <c r="AG31" s="58"/>
      <c r="AH31" s="58"/>
      <c r="AI31" s="58"/>
      <c r="AJ31" s="58"/>
      <c r="AK31" s="58"/>
      <c r="AL31" s="58"/>
    </row>
    <row r="32" spans="1:38"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153"/>
      <c r="Z32" s="58"/>
      <c r="AA32" s="58"/>
      <c r="AB32" s="58"/>
      <c r="AC32" s="58"/>
      <c r="AD32" s="58"/>
      <c r="AE32" s="58"/>
      <c r="AF32" s="58"/>
      <c r="AG32" s="58"/>
      <c r="AH32" s="58"/>
      <c r="AI32" s="58"/>
      <c r="AJ32" s="58"/>
      <c r="AK32" s="58"/>
      <c r="AL32" s="58"/>
    </row>
    <row r="33" spans="1:38"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153"/>
      <c r="Z33" s="58"/>
      <c r="AA33" s="58"/>
      <c r="AB33" s="58"/>
      <c r="AC33" s="58"/>
      <c r="AD33" s="58"/>
      <c r="AE33" s="58"/>
      <c r="AF33" s="58"/>
      <c r="AG33" s="58"/>
      <c r="AH33" s="58"/>
      <c r="AI33" s="58"/>
      <c r="AJ33" s="58"/>
      <c r="AK33" s="58"/>
      <c r="AL33" s="58"/>
    </row>
    <row r="34" spans="1:38" ht="12.75">
      <c r="A34" s="58"/>
      <c r="B34" s="58"/>
      <c r="C34" s="58"/>
      <c r="D34" s="58"/>
      <c r="E34" s="58"/>
      <c r="F34" s="58"/>
      <c r="G34" s="58"/>
      <c r="H34" s="58"/>
      <c r="I34" s="58"/>
      <c r="J34" s="58"/>
      <c r="K34" s="58"/>
      <c r="L34" s="58"/>
      <c r="M34" s="58"/>
      <c r="N34" s="58"/>
      <c r="O34" s="58"/>
      <c r="P34" s="58"/>
      <c r="Q34" s="58"/>
      <c r="R34" s="58"/>
      <c r="S34" s="58"/>
      <c r="T34" s="58"/>
      <c r="U34" s="58"/>
      <c r="V34" s="58"/>
      <c r="W34" s="58"/>
      <c r="X34" s="58"/>
      <c r="Y34" s="153"/>
      <c r="Z34" s="58"/>
      <c r="AA34" s="58"/>
      <c r="AB34" s="58"/>
      <c r="AC34" s="58"/>
      <c r="AD34" s="58"/>
      <c r="AE34" s="58"/>
      <c r="AF34" s="58"/>
      <c r="AG34" s="58"/>
      <c r="AH34" s="58"/>
      <c r="AI34" s="58"/>
      <c r="AJ34" s="58"/>
      <c r="AK34" s="58"/>
      <c r="AL34" s="58"/>
    </row>
    <row r="35" spans="1:38"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153"/>
      <c r="Z35" s="58"/>
      <c r="AA35" s="58"/>
      <c r="AB35" s="58"/>
      <c r="AC35" s="58"/>
      <c r="AD35" s="58"/>
      <c r="AE35" s="58"/>
      <c r="AF35" s="58"/>
      <c r="AG35" s="58"/>
      <c r="AH35" s="58"/>
      <c r="AI35" s="58"/>
      <c r="AJ35" s="58"/>
      <c r="AK35" s="58"/>
      <c r="AL35" s="58"/>
    </row>
    <row r="36" spans="1:38" ht="12.75">
      <c r="A36" s="58"/>
      <c r="B36" s="58"/>
      <c r="C36" s="58"/>
      <c r="D36" s="58"/>
      <c r="E36" s="58"/>
      <c r="F36" s="58"/>
      <c r="G36" s="58"/>
      <c r="H36" s="58"/>
      <c r="I36" s="58"/>
      <c r="J36" s="58"/>
      <c r="K36" s="58"/>
      <c r="L36" s="58"/>
      <c r="M36" s="58"/>
      <c r="N36" s="58"/>
      <c r="O36" s="58"/>
      <c r="P36" s="58"/>
      <c r="Q36" s="58"/>
      <c r="R36" s="58"/>
      <c r="S36" s="58"/>
      <c r="T36" s="58"/>
      <c r="U36" s="58"/>
      <c r="V36" s="58"/>
      <c r="W36" s="58"/>
      <c r="X36" s="58"/>
      <c r="Y36" s="153"/>
      <c r="Z36" s="58"/>
      <c r="AA36" s="58"/>
      <c r="AB36" s="58"/>
      <c r="AC36" s="58"/>
      <c r="AD36" s="58"/>
      <c r="AE36" s="58"/>
      <c r="AF36" s="58"/>
      <c r="AG36" s="58"/>
      <c r="AH36" s="58"/>
      <c r="AI36" s="58"/>
      <c r="AJ36" s="58"/>
      <c r="AK36" s="58"/>
      <c r="AL36" s="58"/>
    </row>
    <row r="37" spans="1:38"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153"/>
      <c r="Z37" s="58"/>
      <c r="AA37" s="58"/>
      <c r="AB37" s="58"/>
      <c r="AC37" s="58"/>
      <c r="AD37" s="58"/>
      <c r="AE37" s="58"/>
      <c r="AF37" s="58"/>
      <c r="AG37" s="58"/>
      <c r="AH37" s="58"/>
      <c r="AI37" s="58"/>
      <c r="AJ37" s="58"/>
      <c r="AK37" s="58"/>
      <c r="AL37" s="58"/>
    </row>
    <row r="38" spans="1:38" ht="12.75">
      <c r="A38" s="58"/>
      <c r="B38" s="58"/>
      <c r="C38" s="58"/>
      <c r="D38" s="58"/>
      <c r="E38" s="58"/>
      <c r="F38" s="58"/>
      <c r="G38" s="58"/>
      <c r="H38" s="58"/>
      <c r="I38" s="58"/>
      <c r="J38" s="58"/>
      <c r="K38" s="58"/>
      <c r="L38" s="58"/>
      <c r="M38" s="58"/>
      <c r="N38" s="58"/>
      <c r="O38" s="58"/>
      <c r="P38" s="58"/>
      <c r="Q38" s="58"/>
      <c r="R38" s="58"/>
      <c r="S38" s="58"/>
      <c r="T38" s="58"/>
      <c r="U38" s="58"/>
      <c r="V38" s="58"/>
      <c r="W38" s="58"/>
      <c r="X38" s="58"/>
      <c r="Y38" s="153"/>
      <c r="Z38" s="58"/>
      <c r="AA38" s="58"/>
      <c r="AB38" s="58"/>
      <c r="AC38" s="58"/>
      <c r="AD38" s="58"/>
      <c r="AE38" s="58"/>
      <c r="AF38" s="58"/>
      <c r="AG38" s="58"/>
      <c r="AH38" s="58"/>
      <c r="AI38" s="58"/>
      <c r="AJ38" s="58"/>
      <c r="AK38" s="58"/>
      <c r="AL38" s="58"/>
    </row>
    <row r="39" spans="1:38"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153"/>
      <c r="Z39" s="58"/>
      <c r="AA39" s="58"/>
      <c r="AB39" s="58"/>
      <c r="AC39" s="58"/>
      <c r="AD39" s="58"/>
      <c r="AE39" s="58"/>
      <c r="AF39" s="58"/>
      <c r="AG39" s="58"/>
      <c r="AH39" s="58"/>
      <c r="AI39" s="58"/>
      <c r="AJ39" s="58"/>
      <c r="AK39" s="58"/>
      <c r="AL39" s="58"/>
    </row>
    <row r="40" spans="1:38" ht="12.75">
      <c r="A40" s="58"/>
      <c r="B40" s="58"/>
      <c r="C40" s="58"/>
      <c r="D40" s="58"/>
      <c r="E40" s="58"/>
      <c r="F40" s="58"/>
      <c r="G40" s="58"/>
      <c r="H40" s="58"/>
      <c r="I40" s="58"/>
      <c r="J40" s="58"/>
      <c r="K40" s="58"/>
      <c r="L40" s="58"/>
      <c r="M40" s="58"/>
      <c r="N40" s="58"/>
      <c r="O40" s="58"/>
      <c r="P40" s="58"/>
      <c r="Q40" s="58"/>
      <c r="R40" s="58"/>
      <c r="S40" s="58"/>
      <c r="T40" s="58"/>
      <c r="U40" s="58"/>
      <c r="V40" s="58"/>
      <c r="W40" s="58"/>
      <c r="X40" s="58"/>
      <c r="Y40" s="153"/>
      <c r="Z40" s="58"/>
      <c r="AA40" s="58"/>
      <c r="AB40" s="58"/>
      <c r="AC40" s="58"/>
      <c r="AD40" s="58"/>
      <c r="AE40" s="58"/>
      <c r="AF40" s="58"/>
      <c r="AG40" s="58"/>
      <c r="AH40" s="58"/>
      <c r="AI40" s="58"/>
      <c r="AJ40" s="58"/>
      <c r="AK40" s="58"/>
      <c r="AL40" s="58"/>
    </row>
    <row r="41" spans="1:38" ht="12.75">
      <c r="A41" s="58"/>
      <c r="B41" s="58"/>
      <c r="C41" s="58"/>
      <c r="D41" s="58"/>
      <c r="E41" s="58"/>
      <c r="F41" s="58"/>
      <c r="G41" s="58"/>
      <c r="H41" s="58"/>
      <c r="I41" s="58"/>
      <c r="J41" s="58"/>
      <c r="K41" s="58"/>
      <c r="L41" s="58"/>
      <c r="M41" s="58"/>
      <c r="N41" s="58"/>
      <c r="O41" s="58"/>
      <c r="P41" s="58"/>
      <c r="Q41" s="58"/>
      <c r="R41" s="58"/>
      <c r="S41" s="58"/>
      <c r="T41" s="58"/>
      <c r="U41" s="58"/>
      <c r="V41" s="58"/>
      <c r="W41" s="58"/>
      <c r="X41" s="58"/>
      <c r="Y41" s="153"/>
      <c r="Z41" s="58"/>
      <c r="AA41" s="58"/>
      <c r="AB41" s="58"/>
      <c r="AC41" s="58"/>
      <c r="AD41" s="58"/>
      <c r="AE41" s="58"/>
      <c r="AF41" s="58"/>
      <c r="AG41" s="58"/>
      <c r="AH41" s="58"/>
      <c r="AI41" s="58"/>
      <c r="AJ41" s="58"/>
      <c r="AK41" s="58"/>
      <c r="AL41" s="58"/>
    </row>
    <row r="42" spans="1:38" ht="12.75">
      <c r="A42" s="58"/>
      <c r="B42" s="58"/>
      <c r="C42" s="58"/>
      <c r="D42" s="58"/>
      <c r="E42" s="58"/>
      <c r="F42" s="58"/>
      <c r="G42" s="58"/>
      <c r="H42" s="58"/>
      <c r="I42" s="58"/>
      <c r="J42" s="58"/>
      <c r="K42" s="58"/>
      <c r="L42" s="58"/>
      <c r="M42" s="58"/>
      <c r="N42" s="58"/>
      <c r="O42" s="58"/>
      <c r="P42" s="58"/>
      <c r="Q42" s="58"/>
      <c r="R42" s="58"/>
      <c r="S42" s="58"/>
      <c r="T42" s="58"/>
      <c r="U42" s="58"/>
      <c r="V42" s="58"/>
      <c r="W42" s="58"/>
      <c r="X42" s="58"/>
      <c r="Y42" s="153"/>
      <c r="Z42" s="58"/>
      <c r="AA42" s="58"/>
      <c r="AB42" s="58"/>
      <c r="AC42" s="58"/>
      <c r="AD42" s="58"/>
      <c r="AE42" s="58"/>
      <c r="AF42" s="58"/>
      <c r="AG42" s="58"/>
      <c r="AH42" s="58"/>
      <c r="AI42" s="58"/>
      <c r="AJ42" s="58"/>
      <c r="AK42" s="58"/>
      <c r="AL42" s="58"/>
    </row>
    <row r="43" spans="1:38" ht="12.75">
      <c r="A43" s="58"/>
      <c r="B43" s="58"/>
      <c r="C43" s="58"/>
      <c r="D43" s="58"/>
      <c r="E43" s="58"/>
      <c r="F43" s="58"/>
      <c r="G43" s="58"/>
      <c r="H43" s="58"/>
      <c r="I43" s="58"/>
      <c r="J43" s="58"/>
      <c r="K43" s="58"/>
      <c r="L43" s="58"/>
      <c r="M43" s="58"/>
      <c r="N43" s="58"/>
      <c r="O43" s="58"/>
      <c r="P43" s="58"/>
      <c r="Q43" s="58"/>
      <c r="R43" s="58"/>
      <c r="S43" s="58"/>
      <c r="T43" s="58"/>
      <c r="U43" s="58"/>
      <c r="V43" s="58"/>
      <c r="W43" s="58"/>
      <c r="X43" s="58"/>
      <c r="Y43" s="153"/>
      <c r="Z43" s="58"/>
      <c r="AA43" s="58"/>
      <c r="AB43" s="58"/>
      <c r="AC43" s="58"/>
      <c r="AD43" s="58"/>
      <c r="AE43" s="58"/>
      <c r="AF43" s="58"/>
      <c r="AG43" s="58"/>
      <c r="AH43" s="58"/>
      <c r="AI43" s="58"/>
      <c r="AJ43" s="58"/>
      <c r="AK43" s="58"/>
      <c r="AL43" s="58"/>
    </row>
    <row r="44" spans="1:38" ht="12.75">
      <c r="A44" s="58"/>
      <c r="B44" s="58"/>
      <c r="C44" s="58"/>
      <c r="D44" s="58"/>
      <c r="E44" s="58"/>
      <c r="F44" s="58"/>
      <c r="G44" s="58"/>
      <c r="H44" s="58"/>
      <c r="I44" s="58"/>
      <c r="J44" s="58"/>
      <c r="K44" s="58"/>
      <c r="L44" s="58"/>
      <c r="M44" s="58"/>
      <c r="N44" s="58"/>
      <c r="O44" s="58"/>
      <c r="P44" s="58"/>
      <c r="Q44" s="58"/>
      <c r="R44" s="58"/>
      <c r="S44" s="58"/>
      <c r="T44" s="58"/>
      <c r="U44" s="58"/>
      <c r="V44" s="58"/>
      <c r="W44" s="58"/>
      <c r="X44" s="58"/>
      <c r="Y44" s="153"/>
      <c r="Z44" s="58"/>
      <c r="AA44" s="58"/>
      <c r="AB44" s="58"/>
      <c r="AC44" s="58"/>
      <c r="AD44" s="58"/>
      <c r="AE44" s="58"/>
      <c r="AF44" s="58"/>
      <c r="AG44" s="58"/>
      <c r="AH44" s="58"/>
      <c r="AI44" s="58"/>
      <c r="AJ44" s="58"/>
      <c r="AK44" s="58"/>
      <c r="AL44" s="58"/>
    </row>
    <row r="45" spans="1:38" ht="12.75">
      <c r="A45" s="58"/>
      <c r="B45" s="58"/>
      <c r="C45" s="58"/>
      <c r="D45" s="58"/>
      <c r="E45" s="58"/>
      <c r="F45" s="58"/>
      <c r="G45" s="58"/>
      <c r="H45" s="58"/>
      <c r="I45" s="58"/>
      <c r="J45" s="58"/>
      <c r="K45" s="58"/>
      <c r="L45" s="58"/>
      <c r="M45" s="58"/>
      <c r="N45" s="58"/>
      <c r="O45" s="58"/>
      <c r="P45" s="58"/>
      <c r="Q45" s="58"/>
      <c r="R45" s="58"/>
      <c r="S45" s="58"/>
      <c r="T45" s="58"/>
      <c r="U45" s="58"/>
      <c r="V45" s="58"/>
      <c r="W45" s="58"/>
      <c r="X45" s="58"/>
      <c r="Y45" s="153"/>
      <c r="Z45" s="58"/>
      <c r="AA45" s="58"/>
      <c r="AB45" s="58"/>
      <c r="AC45" s="58"/>
      <c r="AD45" s="58"/>
      <c r="AE45" s="58"/>
      <c r="AF45" s="58"/>
      <c r="AG45" s="58"/>
      <c r="AH45" s="58"/>
      <c r="AI45" s="58"/>
      <c r="AJ45" s="58"/>
      <c r="AK45" s="58"/>
      <c r="AL45" s="58"/>
    </row>
    <row r="46" spans="1:38" ht="12.75">
      <c r="A46" s="58"/>
      <c r="B46" s="58"/>
      <c r="C46" s="58"/>
      <c r="D46" s="58"/>
      <c r="E46" s="58"/>
      <c r="F46" s="58"/>
      <c r="G46" s="58"/>
      <c r="H46" s="58"/>
      <c r="I46" s="58"/>
      <c r="J46" s="58"/>
      <c r="K46" s="58"/>
      <c r="L46" s="58"/>
      <c r="M46" s="58"/>
      <c r="N46" s="58"/>
      <c r="O46" s="58"/>
      <c r="P46" s="58"/>
      <c r="Q46" s="58"/>
      <c r="R46" s="58"/>
      <c r="S46" s="58"/>
      <c r="T46" s="58"/>
      <c r="U46" s="58"/>
      <c r="V46" s="58"/>
      <c r="W46" s="58"/>
      <c r="X46" s="58"/>
      <c r="Y46" s="153"/>
      <c r="Z46" s="58"/>
      <c r="AA46" s="58"/>
      <c r="AB46" s="58"/>
      <c r="AC46" s="58"/>
      <c r="AD46" s="58"/>
      <c r="AE46" s="58"/>
      <c r="AF46" s="58"/>
      <c r="AG46" s="58"/>
      <c r="AH46" s="58"/>
      <c r="AI46" s="58"/>
      <c r="AJ46" s="58"/>
      <c r="AK46" s="58"/>
      <c r="AL46" s="58"/>
    </row>
    <row r="47" spans="1:38" ht="12.75">
      <c r="A47" s="58"/>
      <c r="B47" s="58"/>
      <c r="C47" s="58"/>
      <c r="D47" s="58"/>
      <c r="E47" s="58"/>
      <c r="F47" s="58"/>
      <c r="G47" s="58"/>
      <c r="H47" s="58"/>
      <c r="I47" s="58"/>
      <c r="J47" s="58"/>
      <c r="K47" s="58"/>
      <c r="L47" s="58"/>
      <c r="M47" s="58"/>
      <c r="N47" s="58"/>
      <c r="O47" s="58"/>
      <c r="P47" s="58"/>
      <c r="Q47" s="58"/>
      <c r="R47" s="58"/>
      <c r="S47" s="58"/>
      <c r="T47" s="58"/>
      <c r="U47" s="58"/>
      <c r="V47" s="58"/>
      <c r="W47" s="58"/>
      <c r="X47" s="58"/>
      <c r="Y47" s="153"/>
      <c r="Z47" s="58"/>
      <c r="AA47" s="58"/>
      <c r="AB47" s="58"/>
      <c r="AC47" s="58"/>
      <c r="AD47" s="58"/>
      <c r="AE47" s="58"/>
      <c r="AF47" s="58"/>
      <c r="AG47" s="58"/>
      <c r="AH47" s="58"/>
      <c r="AI47" s="58"/>
      <c r="AJ47" s="58"/>
      <c r="AK47" s="58"/>
      <c r="AL47" s="58"/>
    </row>
    <row r="48" spans="1:38"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153"/>
      <c r="Z48" s="58"/>
      <c r="AA48" s="58"/>
      <c r="AB48" s="58"/>
      <c r="AC48" s="58"/>
      <c r="AD48" s="58"/>
      <c r="AE48" s="58"/>
      <c r="AF48" s="58"/>
      <c r="AG48" s="58"/>
      <c r="AH48" s="58"/>
      <c r="AI48" s="58"/>
      <c r="AJ48" s="58"/>
      <c r="AK48" s="58"/>
      <c r="AL48" s="58"/>
    </row>
    <row r="49" spans="1:38" ht="12.75">
      <c r="A49" s="58"/>
      <c r="B49" s="58"/>
      <c r="C49" s="58"/>
      <c r="D49" s="58"/>
      <c r="E49" s="58"/>
      <c r="F49" s="58"/>
      <c r="G49" s="58"/>
      <c r="H49" s="58"/>
      <c r="I49" s="58"/>
      <c r="J49" s="58"/>
      <c r="K49" s="58"/>
      <c r="L49" s="58"/>
      <c r="M49" s="58"/>
      <c r="N49" s="58"/>
      <c r="O49" s="58"/>
      <c r="P49" s="58"/>
      <c r="Q49" s="58"/>
      <c r="R49" s="58"/>
      <c r="S49" s="58"/>
      <c r="T49" s="58"/>
      <c r="U49" s="58"/>
      <c r="V49" s="58"/>
      <c r="W49" s="58"/>
      <c r="X49" s="58"/>
      <c r="Y49" s="153"/>
      <c r="Z49" s="58"/>
      <c r="AA49" s="58"/>
      <c r="AB49" s="58"/>
      <c r="AC49" s="58"/>
      <c r="AD49" s="58"/>
      <c r="AE49" s="58"/>
      <c r="AF49" s="58"/>
      <c r="AG49" s="58"/>
      <c r="AH49" s="58"/>
      <c r="AI49" s="58"/>
      <c r="AJ49" s="58"/>
      <c r="AK49" s="58"/>
      <c r="AL49" s="58"/>
    </row>
    <row r="50" spans="1:38" ht="12.75">
      <c r="A50" s="58"/>
      <c r="B50" s="58"/>
      <c r="C50" s="58"/>
      <c r="D50" s="58"/>
      <c r="E50" s="58"/>
      <c r="F50" s="58"/>
      <c r="G50" s="58"/>
      <c r="H50" s="58"/>
      <c r="I50" s="58"/>
      <c r="J50" s="58"/>
      <c r="K50" s="58"/>
      <c r="L50" s="58"/>
      <c r="M50" s="58"/>
      <c r="N50" s="58"/>
      <c r="O50" s="58"/>
      <c r="P50" s="58"/>
      <c r="Q50" s="58"/>
      <c r="R50" s="58"/>
      <c r="S50" s="58"/>
      <c r="T50" s="58"/>
      <c r="U50" s="58"/>
      <c r="V50" s="58"/>
      <c r="W50" s="58"/>
      <c r="X50" s="58"/>
      <c r="Y50" s="153"/>
      <c r="Z50" s="58"/>
      <c r="AA50" s="58"/>
      <c r="AB50" s="58"/>
      <c r="AC50" s="58"/>
      <c r="AD50" s="58"/>
      <c r="AE50" s="58"/>
      <c r="AF50" s="58"/>
      <c r="AG50" s="58"/>
      <c r="AH50" s="58"/>
      <c r="AI50" s="58"/>
      <c r="AJ50" s="58"/>
      <c r="AK50" s="58"/>
      <c r="AL50" s="58"/>
    </row>
    <row r="51" spans="1:38"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153"/>
      <c r="Z51" s="58"/>
      <c r="AA51" s="58"/>
      <c r="AB51" s="58"/>
      <c r="AC51" s="58"/>
      <c r="AD51" s="58"/>
      <c r="AE51" s="58"/>
      <c r="AF51" s="58"/>
      <c r="AG51" s="58"/>
      <c r="AH51" s="58"/>
      <c r="AI51" s="58"/>
      <c r="AJ51" s="58"/>
      <c r="AK51" s="58"/>
      <c r="AL51" s="58"/>
    </row>
    <row r="52" spans="1:38"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153"/>
      <c r="Z52" s="58"/>
      <c r="AA52" s="58"/>
      <c r="AB52" s="58"/>
      <c r="AC52" s="58"/>
      <c r="AD52" s="58"/>
      <c r="AE52" s="58"/>
      <c r="AF52" s="58"/>
      <c r="AG52" s="58"/>
      <c r="AH52" s="58"/>
      <c r="AI52" s="58"/>
      <c r="AJ52" s="58"/>
      <c r="AK52" s="58"/>
      <c r="AL52" s="58"/>
    </row>
    <row r="53" spans="1:38"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153"/>
      <c r="Z53" s="58"/>
      <c r="AA53" s="58"/>
      <c r="AB53" s="58"/>
      <c r="AC53" s="58"/>
      <c r="AD53" s="58"/>
      <c r="AE53" s="58"/>
      <c r="AF53" s="58"/>
      <c r="AG53" s="58"/>
      <c r="AH53" s="58"/>
      <c r="AI53" s="58"/>
      <c r="AJ53" s="58"/>
      <c r="AK53" s="58"/>
      <c r="AL53" s="58"/>
    </row>
  </sheetData>
  <sheetProtection/>
  <dataValidations count="2">
    <dataValidation type="list" allowBlank="1" showInputMessage="1" showErrorMessage="1" sqref="C6">
      <formula1>$Y$5:$Y$17</formula1>
    </dataValidation>
    <dataValidation type="list" allowBlank="1" showInputMessage="1" showErrorMessage="1" sqref="C7:C8">
      <formula1>$AA$5:$AA$27</formula1>
    </dataValidation>
  </dataValidation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311">
    <pageSetUpPr fitToPage="1"/>
  </sheetPr>
  <dimension ref="A1:N147"/>
  <sheetViews>
    <sheetView zoomScalePageLayoutView="0" workbookViewId="0" topLeftCell="A1">
      <pane xSplit="1" ySplit="3" topLeftCell="B4" activePane="bottomRight" state="frozen"/>
      <selection pane="topLeft" activeCell="B9" sqref="B9"/>
      <selection pane="topRight" activeCell="B9" sqref="B9"/>
      <selection pane="bottomLeft" activeCell="B9" sqref="B9"/>
      <selection pane="bottomRight" activeCell="E16" sqref="E16"/>
    </sheetView>
  </sheetViews>
  <sheetFormatPr defaultColWidth="9.33203125" defaultRowHeight="12.75"/>
  <cols>
    <col min="1" max="1" width="14.16015625" style="0" bestFit="1" customWidth="1"/>
    <col min="2" max="2" width="14.83203125" style="0" bestFit="1" customWidth="1"/>
    <col min="3" max="3" width="16" style="0" bestFit="1" customWidth="1"/>
    <col min="4" max="4" width="9.83203125" style="0" bestFit="1" customWidth="1"/>
    <col min="5" max="5" width="15.16015625" style="0" bestFit="1" customWidth="1"/>
    <col min="6" max="6" width="14.5" style="0" bestFit="1" customWidth="1"/>
    <col min="7" max="7" width="20.5" style="0" bestFit="1" customWidth="1"/>
    <col min="8" max="8" width="12" style="0" bestFit="1" customWidth="1"/>
    <col min="9" max="9" width="9.16015625" style="0" bestFit="1" customWidth="1"/>
    <col min="10" max="10" width="8.5" style="0" bestFit="1" customWidth="1"/>
    <col min="11" max="11" width="20.16015625" style="0" bestFit="1" customWidth="1"/>
    <col min="12" max="12" width="8.5" style="0" bestFit="1" customWidth="1"/>
    <col min="13" max="13" width="14" style="0" bestFit="1" customWidth="1"/>
    <col min="14" max="14" width="9.16015625" style="0" bestFit="1" customWidth="1"/>
  </cols>
  <sheetData>
    <row r="1" ht="12.75">
      <c r="A1" t="s">
        <v>63</v>
      </c>
    </row>
    <row r="2" ht="12.75">
      <c r="B2" t="s">
        <v>2</v>
      </c>
    </row>
    <row r="3" spans="1:14" ht="12.75">
      <c r="A3" t="s">
        <v>0</v>
      </c>
      <c r="B3" t="s">
        <v>16</v>
      </c>
      <c r="C3" t="s">
        <v>9</v>
      </c>
      <c r="D3" t="s">
        <v>10</v>
      </c>
      <c r="E3" t="s">
        <v>11</v>
      </c>
      <c r="F3" t="s">
        <v>12</v>
      </c>
      <c r="G3" t="s">
        <v>13</v>
      </c>
      <c r="H3" t="s">
        <v>14</v>
      </c>
      <c r="I3" t="s">
        <v>15</v>
      </c>
      <c r="J3" t="s">
        <v>16</v>
      </c>
      <c r="K3" t="s">
        <v>17</v>
      </c>
      <c r="L3" t="s">
        <v>18</v>
      </c>
      <c r="M3" t="s">
        <v>19</v>
      </c>
      <c r="N3" t="s">
        <v>67</v>
      </c>
    </row>
    <row r="4" spans="1:14" ht="12.75">
      <c r="A4">
        <v>1990</v>
      </c>
      <c r="B4" s="129">
        <v>0.00019</v>
      </c>
      <c r="C4" s="184">
        <v>3.99E-06</v>
      </c>
      <c r="D4" s="184">
        <v>5.39E-06</v>
      </c>
      <c r="E4" s="184">
        <v>6.86E-05</v>
      </c>
      <c r="F4" s="184">
        <v>4.31E-05</v>
      </c>
      <c r="G4" s="184">
        <v>1.67E-05</v>
      </c>
      <c r="H4" s="129">
        <v>0.000124</v>
      </c>
      <c r="I4" s="184">
        <v>1.72E-06</v>
      </c>
      <c r="J4" s="184">
        <v>3.39E-05</v>
      </c>
      <c r="K4" s="184">
        <v>9.11E-05</v>
      </c>
      <c r="L4" s="184">
        <v>2.37E-06</v>
      </c>
      <c r="M4" s="129">
        <v>0.000201</v>
      </c>
      <c r="N4" s="184">
        <v>1.72E-06</v>
      </c>
    </row>
    <row r="5" spans="1:14" ht="12.75">
      <c r="A5">
        <v>1991</v>
      </c>
      <c r="B5" s="129">
        <v>0.000191</v>
      </c>
      <c r="C5" s="184">
        <v>3.66E-06</v>
      </c>
      <c r="D5" s="184">
        <v>3.75E-06</v>
      </c>
      <c r="E5" s="184">
        <v>6.92E-05</v>
      </c>
      <c r="F5" s="184">
        <v>3.32E-05</v>
      </c>
      <c r="G5" s="184">
        <v>1.75E-05</v>
      </c>
      <c r="H5" s="129">
        <v>0.000128</v>
      </c>
      <c r="I5" s="184">
        <v>1.72E-06</v>
      </c>
      <c r="J5" s="184">
        <v>2.92E-05</v>
      </c>
      <c r="K5" s="184">
        <v>8.91E-05</v>
      </c>
      <c r="L5" s="184">
        <v>7.94E-07</v>
      </c>
      <c r="M5" s="129">
        <v>0.000199</v>
      </c>
      <c r="N5" s="184">
        <v>1.72E-06</v>
      </c>
    </row>
    <row r="6" spans="1:14" ht="12.75">
      <c r="A6">
        <v>1992</v>
      </c>
      <c r="B6" s="129">
        <v>0.00019</v>
      </c>
      <c r="C6" s="184">
        <v>7.79E-06</v>
      </c>
      <c r="D6" s="184">
        <v>3.28E-06</v>
      </c>
      <c r="E6" s="184">
        <v>7.93E-05</v>
      </c>
      <c r="F6" s="184">
        <v>3.73E-05</v>
      </c>
      <c r="G6" s="184">
        <v>3.11E-05</v>
      </c>
      <c r="H6" s="129">
        <v>0.000132</v>
      </c>
      <c r="I6" s="184">
        <v>1.72E-06</v>
      </c>
      <c r="J6" s="184">
        <v>2.85E-05</v>
      </c>
      <c r="K6" s="184">
        <v>8.98E-05</v>
      </c>
      <c r="L6" s="184">
        <v>1.64E-06</v>
      </c>
      <c r="M6" s="129">
        <v>0.000212</v>
      </c>
      <c r="N6" s="184">
        <v>1.72E-06</v>
      </c>
    </row>
    <row r="7" spans="1:14" ht="12.75">
      <c r="A7">
        <v>1993</v>
      </c>
      <c r="B7" s="129">
        <v>0.000174</v>
      </c>
      <c r="C7" s="184">
        <v>1.18E-05</v>
      </c>
      <c r="D7" s="184">
        <v>3.01E-06</v>
      </c>
      <c r="E7" s="184">
        <v>6.47E-05</v>
      </c>
      <c r="F7" s="184">
        <v>3.65E-05</v>
      </c>
      <c r="G7" s="184">
        <v>2.32E-05</v>
      </c>
      <c r="H7" s="129">
        <v>0.000128</v>
      </c>
      <c r="I7" s="184">
        <v>1.41E-05</v>
      </c>
      <c r="J7" s="184">
        <v>1.84E-05</v>
      </c>
      <c r="K7" s="184">
        <v>7.96E-05</v>
      </c>
      <c r="L7" s="184">
        <v>4.34E-07</v>
      </c>
      <c r="M7" s="129">
        <v>0.0002</v>
      </c>
      <c r="N7" s="184">
        <v>1.41E-05</v>
      </c>
    </row>
    <row r="8" spans="1:14" ht="12.75">
      <c r="A8">
        <v>1994</v>
      </c>
      <c r="B8" s="129">
        <v>0.000172</v>
      </c>
      <c r="C8" s="184">
        <v>1.44E-05</v>
      </c>
      <c r="D8" s="184">
        <v>2.36E-06</v>
      </c>
      <c r="E8" s="184">
        <v>6.28E-05</v>
      </c>
      <c r="F8" s="184">
        <v>1.76E-05</v>
      </c>
      <c r="G8" s="184">
        <v>2.75E-05</v>
      </c>
      <c r="H8" s="129">
        <v>0.000114</v>
      </c>
      <c r="I8" s="184">
        <v>2.09E-05</v>
      </c>
      <c r="J8" s="184">
        <v>1.47E-05</v>
      </c>
      <c r="K8" s="184">
        <v>7.49E-05</v>
      </c>
      <c r="L8" s="184">
        <v>1.43E-07</v>
      </c>
      <c r="M8" s="129">
        <v>0.00021</v>
      </c>
      <c r="N8" s="184">
        <v>2.09E-05</v>
      </c>
    </row>
    <row r="9" spans="1:14" ht="12.75">
      <c r="A9">
        <v>1995</v>
      </c>
      <c r="B9" s="129">
        <v>0.000173</v>
      </c>
      <c r="C9" s="184">
        <v>1.2E-05</v>
      </c>
      <c r="D9" s="184">
        <v>3.91E-06</v>
      </c>
      <c r="E9" s="184">
        <v>6.74E-05</v>
      </c>
      <c r="F9" s="184">
        <v>3.2E-05</v>
      </c>
      <c r="G9" s="129">
        <v>0.000972</v>
      </c>
      <c r="H9" s="129">
        <v>0.000111</v>
      </c>
      <c r="I9" s="129">
        <v>0.000358</v>
      </c>
      <c r="J9" s="184">
        <v>1.65E-05</v>
      </c>
      <c r="K9" s="129">
        <v>0.0001</v>
      </c>
      <c r="L9" s="184">
        <v>8.27E-07</v>
      </c>
      <c r="M9" s="129">
        <v>0.000204</v>
      </c>
      <c r="N9" s="129">
        <v>0.000358</v>
      </c>
    </row>
    <row r="10" spans="1:14" ht="12.75">
      <c r="A10">
        <v>1996</v>
      </c>
      <c r="B10" s="129">
        <v>0.000169</v>
      </c>
      <c r="C10" s="184">
        <v>6.45E-06</v>
      </c>
      <c r="D10" s="184">
        <v>5.09E-06</v>
      </c>
      <c r="E10" s="184">
        <v>6.25E-05</v>
      </c>
      <c r="F10" s="184">
        <v>3.7E-05</v>
      </c>
      <c r="G10" s="129">
        <v>0.000445</v>
      </c>
      <c r="H10" s="129">
        <v>0.000113</v>
      </c>
      <c r="I10" s="129">
        <v>0.000156</v>
      </c>
      <c r="J10" s="184">
        <v>1.89E-05</v>
      </c>
      <c r="K10" s="184">
        <v>8.07E-05</v>
      </c>
      <c r="L10" s="184">
        <v>8.06E-07</v>
      </c>
      <c r="M10" s="129">
        <v>0.000208</v>
      </c>
      <c r="N10" s="129">
        <v>0.000156</v>
      </c>
    </row>
    <row r="11" spans="1:14" ht="12.75">
      <c r="A11">
        <v>1997</v>
      </c>
      <c r="B11" s="129">
        <v>0.000167</v>
      </c>
      <c r="C11" s="184">
        <v>6.47E-06</v>
      </c>
      <c r="D11" s="184">
        <v>2E-06</v>
      </c>
      <c r="E11" s="184">
        <v>8.41E-05</v>
      </c>
      <c r="F11" s="184">
        <v>2.71E-05</v>
      </c>
      <c r="G11" s="129">
        <v>0.000701</v>
      </c>
      <c r="H11" s="129">
        <v>0.000106</v>
      </c>
      <c r="I11" s="129">
        <v>0.000504</v>
      </c>
      <c r="J11" s="184">
        <v>2.49E-05</v>
      </c>
      <c r="K11" s="184">
        <v>9.21E-05</v>
      </c>
      <c r="L11" s="184">
        <v>7.89E-07</v>
      </c>
      <c r="M11" s="129">
        <v>0.00019</v>
      </c>
      <c r="N11" s="129">
        <v>0.000504</v>
      </c>
    </row>
    <row r="12" spans="1:14" ht="12.75">
      <c r="A12">
        <v>1998</v>
      </c>
      <c r="B12" s="129">
        <v>0.000167</v>
      </c>
      <c r="C12" s="184">
        <v>6.47E-06</v>
      </c>
      <c r="D12" s="184">
        <v>2E-06</v>
      </c>
      <c r="E12" s="184">
        <v>8.41E-05</v>
      </c>
      <c r="F12" s="184">
        <v>2.71E-05</v>
      </c>
      <c r="G12" s="129">
        <v>0.000701</v>
      </c>
      <c r="H12" s="129">
        <v>0.000106</v>
      </c>
      <c r="I12" s="129">
        <v>0.000504</v>
      </c>
      <c r="J12" s="184">
        <v>2.49E-05</v>
      </c>
      <c r="K12" s="184">
        <v>9.21E-05</v>
      </c>
      <c r="L12" s="184">
        <v>7.89E-07</v>
      </c>
      <c r="M12" s="129">
        <v>0.00019</v>
      </c>
      <c r="N12" s="129">
        <v>0.000504</v>
      </c>
    </row>
    <row r="13" spans="1:14" ht="12.75">
      <c r="A13">
        <v>1999</v>
      </c>
      <c r="B13" s="129">
        <v>0.000159</v>
      </c>
      <c r="C13" s="184">
        <v>6.17E-06</v>
      </c>
      <c r="D13" s="184">
        <v>8.85E-07</v>
      </c>
      <c r="E13" s="184">
        <v>7.72E-05</v>
      </c>
      <c r="F13" s="184">
        <v>5.97E-06</v>
      </c>
      <c r="G13" s="129">
        <v>0.000337</v>
      </c>
      <c r="H13" s="184">
        <v>7.97E-05</v>
      </c>
      <c r="I13" s="129">
        <v>0.00015</v>
      </c>
      <c r="J13" s="184">
        <v>3.47E-05</v>
      </c>
      <c r="K13" s="184">
        <v>8.68E-05</v>
      </c>
      <c r="L13" s="184">
        <v>2.42E-06</v>
      </c>
      <c r="M13" s="129">
        <v>0.000188</v>
      </c>
      <c r="N13" s="129">
        <v>0.00015</v>
      </c>
    </row>
    <row r="14" spans="1:14" ht="12.75">
      <c r="A14">
        <v>2000</v>
      </c>
      <c r="B14" s="129">
        <v>0.000157</v>
      </c>
      <c r="C14" s="184">
        <v>6.25E-06</v>
      </c>
      <c r="D14" s="184">
        <v>5.98E-07</v>
      </c>
      <c r="E14" s="184">
        <v>8.1E-05</v>
      </c>
      <c r="F14" s="129">
        <v>0.000254</v>
      </c>
      <c r="G14" s="184">
        <v>5.87E-05</v>
      </c>
      <c r="H14" s="184">
        <v>5.87E-05</v>
      </c>
      <c r="I14" s="184">
        <v>9.85E-05</v>
      </c>
      <c r="J14" s="184">
        <v>4.22E-05</v>
      </c>
      <c r="K14" s="184">
        <v>9.22E-05</v>
      </c>
      <c r="L14" s="184">
        <v>1.68E-06</v>
      </c>
      <c r="M14" s="129">
        <v>0.000176</v>
      </c>
      <c r="N14" s="184">
        <v>9.85E-05</v>
      </c>
    </row>
    <row r="27" ht="12.75">
      <c r="D27" s="1"/>
    </row>
    <row r="28" ht="12.75">
      <c r="D28" s="1"/>
    </row>
    <row r="29" ht="12.75">
      <c r="D29" s="1"/>
    </row>
    <row r="30" ht="12.75">
      <c r="D30" s="1"/>
    </row>
    <row r="31" ht="12.75">
      <c r="D31" s="1"/>
    </row>
    <row r="32" ht="12.75">
      <c r="D32" s="1"/>
    </row>
    <row r="33" ht="12.75">
      <c r="D33" s="1"/>
    </row>
    <row r="34" ht="12.75">
      <c r="D34" s="1"/>
    </row>
    <row r="36" ht="12.75">
      <c r="D36" s="1"/>
    </row>
    <row r="37" spans="3:4" ht="12.75">
      <c r="C37" s="1"/>
      <c r="D37" s="1"/>
    </row>
    <row r="38" spans="3:4" ht="12.75">
      <c r="C38" s="1"/>
      <c r="D38" s="1"/>
    </row>
    <row r="58" ht="12.75">
      <c r="C58" s="1"/>
    </row>
    <row r="60" ht="12.75">
      <c r="D60" s="1"/>
    </row>
    <row r="61" ht="12.75">
      <c r="D61" s="1"/>
    </row>
    <row r="62" ht="12.75">
      <c r="D62" s="1"/>
    </row>
    <row r="63" spans="2:4" ht="12.75">
      <c r="B63" s="1"/>
      <c r="D63" s="1"/>
    </row>
    <row r="64" ht="12.75">
      <c r="D64" s="1"/>
    </row>
    <row r="65" ht="12.75">
      <c r="D65" s="1"/>
    </row>
    <row r="70" ht="12.75">
      <c r="D70" s="1"/>
    </row>
    <row r="71" ht="12.75">
      <c r="D71" s="1"/>
    </row>
    <row r="73" ht="12.75">
      <c r="D73" s="1"/>
    </row>
    <row r="74" ht="12.75">
      <c r="D74" s="1"/>
    </row>
    <row r="75" ht="12.75">
      <c r="D75" s="1"/>
    </row>
    <row r="76" ht="12.75">
      <c r="D76" s="1"/>
    </row>
    <row r="77" ht="12.75">
      <c r="D77" s="1"/>
    </row>
    <row r="78" ht="12.75">
      <c r="D78" s="1"/>
    </row>
    <row r="81" ht="12.75">
      <c r="D81" s="1"/>
    </row>
    <row r="82" ht="12.75">
      <c r="D82" s="1"/>
    </row>
    <row r="83" ht="12.75">
      <c r="D83" s="1"/>
    </row>
    <row r="84" spans="3:4" ht="12.75">
      <c r="C84" s="1"/>
      <c r="D84" s="1"/>
    </row>
    <row r="85" spans="3:4" ht="12.75">
      <c r="C85" s="1"/>
      <c r="D85" s="1"/>
    </row>
    <row r="86" ht="12.75">
      <c r="D86" s="1"/>
    </row>
    <row r="87" ht="12.75">
      <c r="D87" s="1"/>
    </row>
    <row r="91" ht="12.75">
      <c r="D91" s="1"/>
    </row>
    <row r="92" ht="12.75">
      <c r="D92" s="1"/>
    </row>
    <row r="93" ht="12.75">
      <c r="D93" s="1"/>
    </row>
    <row r="94" ht="12.75">
      <c r="D94" s="1"/>
    </row>
    <row r="95" ht="12.75">
      <c r="D95" s="1"/>
    </row>
    <row r="96" ht="12.75">
      <c r="D96" s="1"/>
    </row>
    <row r="100" ht="12.75">
      <c r="D100" s="1"/>
    </row>
    <row r="101" ht="12.75">
      <c r="D101" s="1"/>
    </row>
    <row r="102" spans="3:4" ht="12.75">
      <c r="C102" s="1"/>
      <c r="D102" s="1"/>
    </row>
    <row r="106" ht="12.75">
      <c r="C106" s="1"/>
    </row>
    <row r="107" ht="12.75">
      <c r="D107" s="1"/>
    </row>
    <row r="108" ht="12.75">
      <c r="D108" s="1"/>
    </row>
    <row r="110" ht="12.75">
      <c r="D110" s="1"/>
    </row>
    <row r="111" ht="12.75">
      <c r="D111" s="1"/>
    </row>
    <row r="114" ht="12.75">
      <c r="C114" s="1"/>
    </row>
    <row r="121" ht="12.75">
      <c r="D121" s="1"/>
    </row>
    <row r="122" ht="12.75">
      <c r="D122" s="1"/>
    </row>
    <row r="123" ht="12.75">
      <c r="D123" s="1"/>
    </row>
    <row r="136" ht="12.75">
      <c r="D136" s="1"/>
    </row>
    <row r="137" ht="12.75">
      <c r="D137" s="1"/>
    </row>
    <row r="138" ht="12.75">
      <c r="D138" s="1"/>
    </row>
    <row r="139" ht="12.75">
      <c r="D139" s="1"/>
    </row>
    <row r="140" ht="12.75">
      <c r="D140" s="1"/>
    </row>
    <row r="141" ht="12.75">
      <c r="D141" s="1"/>
    </row>
    <row r="142" ht="12.75">
      <c r="D142" s="1"/>
    </row>
    <row r="143" ht="12.75">
      <c r="D143" s="1"/>
    </row>
    <row r="144" ht="12.75">
      <c r="D144" s="1"/>
    </row>
    <row r="145" ht="12.75">
      <c r="D145" s="1"/>
    </row>
    <row r="146" ht="12.75">
      <c r="D146" s="1"/>
    </row>
    <row r="147" ht="12.75">
      <c r="D147" s="1"/>
    </row>
  </sheetData>
  <sheetProtection/>
  <printOptions/>
  <pageMargins left="0.75" right="0.75" top="1" bottom="1" header="0.5" footer="0.5"/>
  <pageSetup fitToHeight="1" fitToWidth="1" horizontalDpi="600" verticalDpi="600" orientation="landscape" scale="24" r:id="rId1"/>
</worksheet>
</file>

<file path=xl/worksheets/sheet21.xml><?xml version="1.0" encoding="utf-8"?>
<worksheet xmlns="http://schemas.openxmlformats.org/spreadsheetml/2006/main" xmlns:r="http://schemas.openxmlformats.org/officeDocument/2006/relationships">
  <sheetPr codeName="Sheet18">
    <tabColor rgb="FF002060"/>
  </sheetPr>
  <dimension ref="A1:N33"/>
  <sheetViews>
    <sheetView zoomScalePageLayoutView="0" workbookViewId="0" topLeftCell="A19">
      <selection activeCell="L20" sqref="L20"/>
    </sheetView>
  </sheetViews>
  <sheetFormatPr defaultColWidth="9.33203125" defaultRowHeight="12.75"/>
  <cols>
    <col min="1" max="1" width="32.33203125" style="0" customWidth="1"/>
    <col min="2" max="2" width="20.16015625" style="0" customWidth="1"/>
    <col min="3" max="3" width="12.83203125" style="0" customWidth="1"/>
    <col min="4" max="4" width="12.33203125" style="0" customWidth="1"/>
    <col min="5" max="5" width="17.83203125" style="0" bestFit="1" customWidth="1"/>
    <col min="6" max="7" width="8.66015625" style="0" bestFit="1" customWidth="1"/>
    <col min="8" max="8" width="9.83203125" style="0" bestFit="1" customWidth="1"/>
    <col min="9" max="9" width="13.66015625" style="0" customWidth="1"/>
    <col min="10" max="10" width="8.66015625" style="0" bestFit="1" customWidth="1"/>
    <col min="11" max="11" width="15.83203125" style="0" customWidth="1"/>
    <col min="12" max="12" width="20.5" style="0" bestFit="1" customWidth="1"/>
    <col min="13" max="13" width="8.66015625" style="0" bestFit="1" customWidth="1"/>
    <col min="14" max="14" width="9" style="0" bestFit="1" customWidth="1"/>
  </cols>
  <sheetData>
    <row r="1" spans="1:14" ht="12.75">
      <c r="A1" s="98" t="s">
        <v>177</v>
      </c>
      <c r="B1" s="137" t="s">
        <v>178</v>
      </c>
      <c r="C1" s="137" t="s">
        <v>17</v>
      </c>
      <c r="D1" s="134" t="s">
        <v>14</v>
      </c>
      <c r="E1" s="134" t="s">
        <v>11</v>
      </c>
      <c r="F1" s="134" t="s">
        <v>18</v>
      </c>
      <c r="G1" s="134" t="s">
        <v>16</v>
      </c>
      <c r="H1" s="134" t="s">
        <v>10</v>
      </c>
      <c r="I1" s="134" t="s">
        <v>19</v>
      </c>
      <c r="J1" s="134" t="s">
        <v>8</v>
      </c>
      <c r="K1" s="134" t="s">
        <v>9</v>
      </c>
      <c r="L1" s="137" t="s">
        <v>13</v>
      </c>
      <c r="M1" s="134" t="s">
        <v>67</v>
      </c>
      <c r="N1" s="134" t="s">
        <v>15</v>
      </c>
    </row>
    <row r="2" spans="1:14" ht="16.5">
      <c r="A2" s="98" t="s">
        <v>210</v>
      </c>
      <c r="B2" s="135">
        <f>E21</f>
        <v>0.001902627</v>
      </c>
      <c r="C2" s="136">
        <f>E22</f>
        <v>0.001902627</v>
      </c>
      <c r="D2" s="136">
        <f>E23</f>
        <v>0.001902627</v>
      </c>
      <c r="E2" s="136">
        <f>E24</f>
        <v>0.001902627</v>
      </c>
      <c r="F2" s="136">
        <f>E25</f>
        <v>0.0018896269999999998</v>
      </c>
      <c r="G2" s="136">
        <f>E26</f>
        <v>0.001890627</v>
      </c>
      <c r="H2" s="136">
        <f>E27</f>
        <v>0.001888627</v>
      </c>
      <c r="I2" s="136">
        <f>E28</f>
        <v>0.001831627</v>
      </c>
      <c r="J2" s="136">
        <f>E29</f>
        <v>0.001929627</v>
      </c>
      <c r="K2" s="136">
        <f>E30</f>
        <v>0.001927627</v>
      </c>
      <c r="L2" s="136">
        <f>E31</f>
        <v>0.002465627</v>
      </c>
      <c r="M2" s="389">
        <v>0.001903</v>
      </c>
      <c r="N2" s="136">
        <f>E33</f>
        <v>0.002465627</v>
      </c>
    </row>
    <row r="3" spans="1:2" ht="12.75">
      <c r="A3" s="88"/>
      <c r="B3" s="92"/>
    </row>
    <row r="4" spans="1:2" ht="12.75">
      <c r="A4" s="88"/>
      <c r="B4" s="95"/>
    </row>
    <row r="5" spans="1:2" ht="12.75">
      <c r="A5" s="88"/>
      <c r="B5" s="92"/>
    </row>
    <row r="6" spans="1:2" ht="12.75">
      <c r="A6" s="88"/>
      <c r="B6" s="96"/>
    </row>
    <row r="7" spans="1:2" ht="12.75">
      <c r="A7" s="88"/>
      <c r="B7" s="97"/>
    </row>
    <row r="8" spans="1:2" ht="12.75">
      <c r="A8" s="88"/>
      <c r="B8" s="97"/>
    </row>
    <row r="9" spans="1:2" ht="12.75">
      <c r="A9" s="88"/>
      <c r="B9" s="96"/>
    </row>
    <row r="10" spans="1:2" ht="12.75">
      <c r="A10" s="88"/>
      <c r="B10" s="96"/>
    </row>
    <row r="11" spans="1:2" ht="12.75">
      <c r="A11" s="88"/>
      <c r="B11" s="97"/>
    </row>
    <row r="12" spans="1:2" ht="12.75">
      <c r="A12" s="88"/>
      <c r="B12" s="97"/>
    </row>
    <row r="13" spans="1:2" ht="12.75">
      <c r="A13" s="88"/>
      <c r="B13" s="97"/>
    </row>
    <row r="14" spans="1:2" ht="12.75">
      <c r="A14" s="88"/>
      <c r="B14" s="97"/>
    </row>
    <row r="15" ht="12.75">
      <c r="B15" s="87"/>
    </row>
    <row r="16" ht="12.75">
      <c r="A16" s="86"/>
    </row>
    <row r="17" ht="12.75">
      <c r="A17" s="86"/>
    </row>
    <row r="18" spans="1:9" ht="12.75">
      <c r="A18" s="92"/>
      <c r="H18" s="94"/>
      <c r="I18" s="94"/>
    </row>
    <row r="19" spans="1:9" ht="16.5" thickBot="1">
      <c r="A19" s="99" t="s">
        <v>179</v>
      </c>
      <c r="H19" s="88"/>
      <c r="I19" s="95"/>
    </row>
    <row r="20" spans="1:9" ht="17.25" thickBot="1" thickTop="1">
      <c r="A20" s="132" t="s">
        <v>177</v>
      </c>
      <c r="B20" s="130" t="s">
        <v>211</v>
      </c>
      <c r="C20" s="131" t="s">
        <v>212</v>
      </c>
      <c r="D20" s="131" t="s">
        <v>213</v>
      </c>
      <c r="E20" s="130" t="s">
        <v>214</v>
      </c>
      <c r="H20" s="88"/>
      <c r="I20" s="92"/>
    </row>
    <row r="21" spans="1:9" ht="14.25" thickBot="1" thickTop="1">
      <c r="A21" s="133" t="s">
        <v>178</v>
      </c>
      <c r="B21" s="126">
        <v>0.001891</v>
      </c>
      <c r="C21" s="89">
        <v>0.037</v>
      </c>
      <c r="D21" s="89">
        <v>0.035</v>
      </c>
      <c r="E21" s="126">
        <f>(B21+C21*21/1000000)+(D21*310/1000000)</f>
        <v>0.001902627</v>
      </c>
      <c r="H21" s="88"/>
      <c r="I21" s="95"/>
    </row>
    <row r="22" spans="1:9" ht="14.25" thickBot="1" thickTop="1">
      <c r="A22" s="133" t="s">
        <v>17</v>
      </c>
      <c r="B22" s="123">
        <v>0.001891</v>
      </c>
      <c r="C22" s="89">
        <v>0.037</v>
      </c>
      <c r="D22" s="89">
        <v>0.035</v>
      </c>
      <c r="E22" s="123">
        <f>(B22+C22*21/1000000)+(D22*310/1000000)</f>
        <v>0.001902627</v>
      </c>
      <c r="H22" s="88"/>
      <c r="I22" s="92"/>
    </row>
    <row r="23" spans="1:9" ht="14.25" thickBot="1" thickTop="1">
      <c r="A23" s="133" t="s">
        <v>14</v>
      </c>
      <c r="B23" s="126">
        <v>0.001891</v>
      </c>
      <c r="C23" s="89">
        <v>0.037</v>
      </c>
      <c r="D23" s="89">
        <v>0.035</v>
      </c>
      <c r="E23" s="126">
        <f aca="true" t="shared" si="0" ref="E23:E33">(B23+C23*21/1000000)+(D23*310/1000000)</f>
        <v>0.001902627</v>
      </c>
      <c r="H23" s="88"/>
      <c r="I23" s="96"/>
    </row>
    <row r="24" spans="1:9" ht="14.25" thickBot="1" thickTop="1">
      <c r="A24" s="133" t="s">
        <v>11</v>
      </c>
      <c r="B24" s="126">
        <v>0.001891</v>
      </c>
      <c r="C24" s="89">
        <v>0.037</v>
      </c>
      <c r="D24" s="89">
        <v>0.035</v>
      </c>
      <c r="E24" s="126">
        <f t="shared" si="0"/>
        <v>0.001902627</v>
      </c>
      <c r="H24" s="88"/>
      <c r="I24" s="97"/>
    </row>
    <row r="25" spans="1:9" ht="14.25" thickBot="1" thickTop="1">
      <c r="A25" s="133" t="s">
        <v>18</v>
      </c>
      <c r="B25" s="90">
        <v>0.001878</v>
      </c>
      <c r="C25" s="89">
        <v>0.037</v>
      </c>
      <c r="D25" s="89">
        <v>0.035</v>
      </c>
      <c r="E25" s="126">
        <f t="shared" si="0"/>
        <v>0.0018896269999999998</v>
      </c>
      <c r="H25" s="88"/>
      <c r="I25" s="97"/>
    </row>
    <row r="26" spans="1:9" ht="14.25" thickBot="1" thickTop="1">
      <c r="A26" s="133" t="s">
        <v>16</v>
      </c>
      <c r="B26" s="89">
        <v>0.001879</v>
      </c>
      <c r="C26" s="89">
        <v>0.037</v>
      </c>
      <c r="D26" s="89">
        <v>0.035</v>
      </c>
      <c r="E26" s="126">
        <f t="shared" si="0"/>
        <v>0.001890627</v>
      </c>
      <c r="H26" s="88"/>
      <c r="I26" s="96"/>
    </row>
    <row r="27" spans="1:9" ht="14.25" thickBot="1" thickTop="1">
      <c r="A27" s="133" t="s">
        <v>10</v>
      </c>
      <c r="B27" s="89">
        <v>0.001877</v>
      </c>
      <c r="C27" s="89">
        <v>0.037</v>
      </c>
      <c r="D27" s="89">
        <v>0.035</v>
      </c>
      <c r="E27" s="126">
        <f t="shared" si="0"/>
        <v>0.001888627</v>
      </c>
      <c r="H27" s="88"/>
      <c r="I27" s="96"/>
    </row>
    <row r="28" spans="1:9" ht="14.25" thickBot="1" thickTop="1">
      <c r="A28" s="133" t="s">
        <v>19</v>
      </c>
      <c r="B28" s="90">
        <v>0.00182</v>
      </c>
      <c r="C28" s="89">
        <v>0.037</v>
      </c>
      <c r="D28" s="89">
        <v>0.035</v>
      </c>
      <c r="E28" s="126">
        <f t="shared" si="0"/>
        <v>0.001831627</v>
      </c>
      <c r="H28" s="88"/>
      <c r="I28" s="97"/>
    </row>
    <row r="29" spans="1:9" ht="14.25" thickBot="1" thickTop="1">
      <c r="A29" s="133" t="s">
        <v>8</v>
      </c>
      <c r="B29" s="90">
        <v>0.001918</v>
      </c>
      <c r="C29" s="89">
        <v>0.037</v>
      </c>
      <c r="D29" s="89">
        <v>0.035</v>
      </c>
      <c r="E29" s="126">
        <f t="shared" si="0"/>
        <v>0.001929627</v>
      </c>
      <c r="H29" s="88"/>
      <c r="I29" s="97"/>
    </row>
    <row r="30" spans="1:9" ht="14.25" thickBot="1" thickTop="1">
      <c r="A30" s="133" t="s">
        <v>9</v>
      </c>
      <c r="B30" s="89">
        <v>0.001916</v>
      </c>
      <c r="C30" s="89">
        <v>0.037</v>
      </c>
      <c r="D30" s="89">
        <v>0.035</v>
      </c>
      <c r="E30" s="126">
        <f t="shared" si="0"/>
        <v>0.001927627</v>
      </c>
      <c r="H30" s="88"/>
      <c r="I30" s="97"/>
    </row>
    <row r="31" spans="1:9" ht="14.25" thickBot="1" thickTop="1">
      <c r="A31" s="133" t="s">
        <v>13</v>
      </c>
      <c r="B31" s="89">
        <v>0.002454</v>
      </c>
      <c r="C31" s="89">
        <v>0.037</v>
      </c>
      <c r="D31" s="89">
        <v>0.035</v>
      </c>
      <c r="E31" s="126">
        <f t="shared" si="0"/>
        <v>0.002465627</v>
      </c>
      <c r="H31" s="88"/>
      <c r="I31" s="97"/>
    </row>
    <row r="32" spans="1:5" ht="14.25" thickBot="1" thickTop="1">
      <c r="A32" s="133" t="s">
        <v>67</v>
      </c>
      <c r="B32" s="390">
        <v>0.001891</v>
      </c>
      <c r="C32" s="89">
        <v>0.037</v>
      </c>
      <c r="D32" s="89">
        <v>0.035</v>
      </c>
      <c r="E32" s="391">
        <f t="shared" si="0"/>
        <v>0.001902627</v>
      </c>
    </row>
    <row r="33" spans="1:5" ht="14.25" thickBot="1" thickTop="1">
      <c r="A33" s="133" t="s">
        <v>15</v>
      </c>
      <c r="B33" s="91">
        <v>0.002454</v>
      </c>
      <c r="C33" s="89">
        <v>0.037</v>
      </c>
      <c r="D33" s="89">
        <v>0.035</v>
      </c>
      <c r="E33" s="127">
        <f t="shared" si="0"/>
        <v>0.002465627</v>
      </c>
    </row>
    <row r="34" ht="13.5" thickTop="1"/>
  </sheetData>
  <sheetProtection/>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codeName="Sheet17">
    <tabColor theme="3" tint="-0.24997000396251678"/>
  </sheetPr>
  <dimension ref="A1:AB52"/>
  <sheetViews>
    <sheetView zoomScalePageLayoutView="0" workbookViewId="0" topLeftCell="A1">
      <selection activeCell="D16" sqref="D16"/>
    </sheetView>
  </sheetViews>
  <sheetFormatPr defaultColWidth="9.33203125" defaultRowHeight="12.75"/>
  <cols>
    <col min="2" max="2" width="9.16015625" style="0" customWidth="1"/>
    <col min="3" max="3" width="17.33203125" style="0" bestFit="1" customWidth="1"/>
    <col min="4" max="4" width="12.83203125" style="0" customWidth="1"/>
    <col min="5" max="5" width="9.83203125" style="0" customWidth="1"/>
    <col min="6" max="6" width="10.16015625" style="0" customWidth="1"/>
    <col min="7" max="7" width="11.16015625" style="0" customWidth="1"/>
    <col min="8" max="8" width="10.5" style="0" customWidth="1"/>
    <col min="9" max="9" width="10.33203125" style="0" customWidth="1"/>
  </cols>
  <sheetData>
    <row r="1" spans="1:28" ht="13.5" thickBot="1">
      <c r="A1" s="58" t="s">
        <v>98</v>
      </c>
      <c r="B1" s="58"/>
      <c r="C1" s="58"/>
      <c r="D1" s="58"/>
      <c r="E1" s="58"/>
      <c r="F1" s="58"/>
      <c r="G1" s="58"/>
      <c r="H1" s="58"/>
      <c r="I1" s="58"/>
      <c r="J1" s="58"/>
      <c r="K1" s="58"/>
      <c r="L1" s="58"/>
      <c r="M1" s="58"/>
      <c r="N1" s="58"/>
      <c r="O1" s="58"/>
      <c r="P1" s="58"/>
      <c r="Q1" s="58"/>
      <c r="R1" s="58"/>
      <c r="S1" s="58"/>
      <c r="T1" s="58"/>
      <c r="U1" s="58"/>
      <c r="V1" s="58"/>
      <c r="W1" s="58"/>
      <c r="X1" s="58"/>
      <c r="Y1" s="58"/>
      <c r="Z1" s="58"/>
      <c r="AA1" s="58"/>
      <c r="AB1" s="58"/>
    </row>
    <row r="2" spans="1:28" ht="12.75">
      <c r="A2" s="490" t="s">
        <v>99</v>
      </c>
      <c r="B2" s="491"/>
      <c r="C2" s="318" t="s">
        <v>105</v>
      </c>
      <c r="D2" s="58"/>
      <c r="E2" s="58"/>
      <c r="F2" s="58"/>
      <c r="G2" s="58"/>
      <c r="H2" s="58"/>
      <c r="I2" s="58"/>
      <c r="J2" s="58"/>
      <c r="K2" s="58"/>
      <c r="L2" s="58"/>
      <c r="M2" s="58"/>
      <c r="N2" s="58"/>
      <c r="O2" s="58"/>
      <c r="P2" s="58"/>
      <c r="Q2" s="58"/>
      <c r="R2" s="58"/>
      <c r="S2" s="58"/>
      <c r="T2" s="58"/>
      <c r="U2" s="58"/>
      <c r="V2" s="58"/>
      <c r="W2" s="58"/>
      <c r="X2" s="58"/>
      <c r="Y2" s="58"/>
      <c r="Z2" s="58"/>
      <c r="AA2" s="58"/>
      <c r="AB2" s="58"/>
    </row>
    <row r="3" spans="1:28" ht="12.75">
      <c r="A3" s="492" t="s">
        <v>100</v>
      </c>
      <c r="B3" s="493"/>
      <c r="C3" s="313">
        <v>38</v>
      </c>
      <c r="D3" s="58"/>
      <c r="E3" s="58"/>
      <c r="F3" s="58"/>
      <c r="G3" s="58"/>
      <c r="H3" s="58"/>
      <c r="I3" s="58"/>
      <c r="J3" s="58"/>
      <c r="K3" s="58"/>
      <c r="L3" s="58"/>
      <c r="M3" s="58"/>
      <c r="N3" s="58"/>
      <c r="O3" s="58"/>
      <c r="P3" s="58"/>
      <c r="Q3" s="58"/>
      <c r="R3" s="58"/>
      <c r="S3" s="58"/>
      <c r="T3" s="58"/>
      <c r="U3" s="58"/>
      <c r="V3" s="58"/>
      <c r="W3" s="58"/>
      <c r="X3" s="58"/>
      <c r="Y3" s="58"/>
      <c r="Z3" s="58"/>
      <c r="AA3" s="58"/>
      <c r="AB3" s="58"/>
    </row>
    <row r="4" spans="1:28" ht="12.75">
      <c r="A4" s="492" t="s">
        <v>101</v>
      </c>
      <c r="B4" s="493"/>
      <c r="C4" s="313">
        <v>13</v>
      </c>
      <c r="D4" s="58"/>
      <c r="E4" s="58"/>
      <c r="F4" s="58"/>
      <c r="G4" s="58"/>
      <c r="H4" s="58"/>
      <c r="I4" s="58"/>
      <c r="J4" s="58"/>
      <c r="K4" s="58"/>
      <c r="L4" s="58"/>
      <c r="M4" s="58"/>
      <c r="N4" s="58"/>
      <c r="O4" s="58"/>
      <c r="P4" s="58"/>
      <c r="Q4" s="58"/>
      <c r="R4" s="58"/>
      <c r="S4" s="58"/>
      <c r="T4" s="58"/>
      <c r="U4" s="58"/>
      <c r="V4" s="58"/>
      <c r="W4" s="58"/>
      <c r="X4" s="58"/>
      <c r="Y4" s="58"/>
      <c r="Z4" s="58"/>
      <c r="AA4" s="58"/>
      <c r="AB4" s="58"/>
    </row>
    <row r="5" spans="1:28" ht="12.75">
      <c r="A5" s="492" t="s">
        <v>102</v>
      </c>
      <c r="B5" s="493"/>
      <c r="C5" s="313">
        <v>10</v>
      </c>
      <c r="D5" s="58"/>
      <c r="E5" s="58"/>
      <c r="F5" s="58"/>
      <c r="G5" s="58"/>
      <c r="H5" s="58"/>
      <c r="I5" s="58"/>
      <c r="J5" s="58"/>
      <c r="K5" s="58"/>
      <c r="L5" s="58"/>
      <c r="M5" s="58"/>
      <c r="N5" s="58"/>
      <c r="O5" s="58"/>
      <c r="P5" s="58"/>
      <c r="Q5" s="58"/>
      <c r="R5" s="58"/>
      <c r="S5" s="58"/>
      <c r="T5" s="58"/>
      <c r="U5" s="58"/>
      <c r="V5" s="58"/>
      <c r="W5" s="58"/>
      <c r="X5" s="58"/>
      <c r="Y5" s="58"/>
      <c r="Z5" s="58"/>
      <c r="AA5" s="58"/>
      <c r="AB5" s="58"/>
    </row>
    <row r="6" spans="1:28" ht="12.75">
      <c r="A6" s="492" t="s">
        <v>103</v>
      </c>
      <c r="B6" s="493"/>
      <c r="C6" s="313">
        <v>4</v>
      </c>
      <c r="D6" s="58"/>
      <c r="E6" s="58"/>
      <c r="F6" s="58"/>
      <c r="G6" s="58"/>
      <c r="H6" s="58"/>
      <c r="I6" s="58"/>
      <c r="J6" s="58"/>
      <c r="K6" s="58"/>
      <c r="L6" s="58"/>
      <c r="M6" s="58"/>
      <c r="N6" s="58"/>
      <c r="O6" s="58"/>
      <c r="P6" s="58"/>
      <c r="Q6" s="58"/>
      <c r="R6" s="58"/>
      <c r="S6" s="58"/>
      <c r="T6" s="58"/>
      <c r="U6" s="58"/>
      <c r="V6" s="58"/>
      <c r="W6" s="58"/>
      <c r="X6" s="58"/>
      <c r="Y6" s="58"/>
      <c r="Z6" s="58"/>
      <c r="AA6" s="58"/>
      <c r="AB6" s="58"/>
    </row>
    <row r="7" spans="1:28" ht="13.5" thickBot="1">
      <c r="A7" s="494" t="s">
        <v>104</v>
      </c>
      <c r="B7" s="495"/>
      <c r="C7" s="314">
        <v>35</v>
      </c>
      <c r="D7" s="58"/>
      <c r="E7" s="58"/>
      <c r="F7" s="58"/>
      <c r="G7" s="58"/>
      <c r="H7" s="58"/>
      <c r="I7" s="58"/>
      <c r="J7" s="58"/>
      <c r="K7" s="58"/>
      <c r="L7" s="58"/>
      <c r="M7" s="58"/>
      <c r="N7" s="58"/>
      <c r="O7" s="58"/>
      <c r="P7" s="58"/>
      <c r="Q7" s="58"/>
      <c r="R7" s="58"/>
      <c r="S7" s="58"/>
      <c r="T7" s="58"/>
      <c r="U7" s="58"/>
      <c r="V7" s="58"/>
      <c r="W7" s="58"/>
      <c r="X7" s="58"/>
      <c r="Y7" s="58"/>
      <c r="Z7" s="58"/>
      <c r="AA7" s="58"/>
      <c r="AB7" s="58"/>
    </row>
    <row r="8" spans="1:28" ht="12.7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row>
    <row r="9" spans="1:28" ht="12.75">
      <c r="A9" s="179" t="s">
        <v>281</v>
      </c>
      <c r="B9" s="58"/>
      <c r="C9" s="58"/>
      <c r="D9" s="291">
        <v>0.4817</v>
      </c>
      <c r="E9" s="58"/>
      <c r="F9" s="58"/>
      <c r="G9" s="58"/>
      <c r="H9" s="58"/>
      <c r="I9" s="58"/>
      <c r="J9" s="58"/>
      <c r="K9" s="58"/>
      <c r="L9" s="58"/>
      <c r="M9" s="58"/>
      <c r="N9" s="58"/>
      <c r="O9" s="58"/>
      <c r="P9" s="58"/>
      <c r="Q9" s="58"/>
      <c r="R9" s="58"/>
      <c r="S9" s="58"/>
      <c r="T9" s="58"/>
      <c r="U9" s="58"/>
      <c r="V9" s="58"/>
      <c r="W9" s="58"/>
      <c r="X9" s="58"/>
      <c r="Y9" s="58"/>
      <c r="Z9" s="58"/>
      <c r="AA9" s="58"/>
      <c r="AB9" s="58"/>
    </row>
    <row r="10" spans="1:28" ht="12.75">
      <c r="A10" s="58"/>
      <c r="B10" s="58"/>
      <c r="C10" s="58"/>
      <c r="D10" s="58"/>
      <c r="E10" s="58"/>
      <c r="F10" s="319"/>
      <c r="G10" s="58"/>
      <c r="H10" s="58"/>
      <c r="I10" s="58"/>
      <c r="J10" s="58"/>
      <c r="K10" s="58"/>
      <c r="L10" s="58"/>
      <c r="M10" s="58"/>
      <c r="N10" s="58"/>
      <c r="O10" s="58"/>
      <c r="P10" s="58"/>
      <c r="Q10" s="58"/>
      <c r="R10" s="58"/>
      <c r="S10" s="58"/>
      <c r="T10" s="58"/>
      <c r="U10" s="58"/>
      <c r="V10" s="58"/>
      <c r="W10" s="58"/>
      <c r="X10" s="58"/>
      <c r="Y10" s="58"/>
      <c r="Z10" s="58"/>
      <c r="AA10" s="58"/>
      <c r="AB10" s="58"/>
    </row>
    <row r="11" spans="1:28" ht="12.75">
      <c r="A11" s="321" t="s">
        <v>280</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row>
    <row r="12" spans="1:28" ht="12.75">
      <c r="A12" s="179" t="s">
        <v>254</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row>
    <row r="13" spans="1:28" ht="12.75">
      <c r="A13" s="179" t="s">
        <v>255</v>
      </c>
      <c r="B13" s="62"/>
      <c r="C13" s="62"/>
      <c r="D13" s="315"/>
      <c r="E13" s="315"/>
      <c r="F13" s="315"/>
      <c r="G13" s="315"/>
      <c r="H13" s="315"/>
      <c r="I13" s="315"/>
      <c r="J13" s="315"/>
      <c r="K13" s="315"/>
      <c r="L13" s="315"/>
      <c r="M13" s="315"/>
      <c r="N13" s="315"/>
      <c r="O13" s="315"/>
      <c r="P13" s="62"/>
      <c r="Q13" s="58"/>
      <c r="R13" s="58"/>
      <c r="S13" s="58"/>
      <c r="T13" s="58"/>
      <c r="U13" s="58"/>
      <c r="V13" s="58"/>
      <c r="W13" s="58"/>
      <c r="X13" s="58"/>
      <c r="Y13" s="58"/>
      <c r="Z13" s="58"/>
      <c r="AA13" s="58"/>
      <c r="AB13" s="58"/>
    </row>
    <row r="14" spans="1:28" ht="12.75">
      <c r="A14" s="179"/>
      <c r="B14" s="62"/>
      <c r="C14" s="62"/>
      <c r="D14" s="315"/>
      <c r="E14" s="315"/>
      <c r="F14" s="315"/>
      <c r="G14" s="315"/>
      <c r="H14" s="315"/>
      <c r="I14" s="315"/>
      <c r="J14" s="315"/>
      <c r="K14" s="315"/>
      <c r="L14" s="315"/>
      <c r="M14" s="315"/>
      <c r="N14" s="315"/>
      <c r="O14" s="315"/>
      <c r="P14" s="62"/>
      <c r="Q14" s="58"/>
      <c r="R14" s="58"/>
      <c r="S14" s="58"/>
      <c r="T14" s="58"/>
      <c r="U14" s="58"/>
      <c r="V14" s="58"/>
      <c r="W14" s="58"/>
      <c r="X14" s="58"/>
      <c r="Y14" s="58"/>
      <c r="Z14" s="58"/>
      <c r="AA14" s="58"/>
      <c r="AB14" s="58"/>
    </row>
    <row r="15" spans="1:28" ht="12.75">
      <c r="A15" s="179" t="s">
        <v>283</v>
      </c>
      <c r="B15" s="62"/>
      <c r="C15" s="62"/>
      <c r="D15" s="316"/>
      <c r="E15" s="316"/>
      <c r="F15" s="62"/>
      <c r="G15" s="316"/>
      <c r="H15" s="316"/>
      <c r="I15" s="62"/>
      <c r="J15" s="316"/>
      <c r="K15" s="316"/>
      <c r="L15" s="62"/>
      <c r="M15" s="62"/>
      <c r="N15" s="62"/>
      <c r="O15" s="62"/>
      <c r="P15" s="62"/>
      <c r="Q15" s="58"/>
      <c r="R15" s="58"/>
      <c r="S15" s="58"/>
      <c r="T15" s="58"/>
      <c r="U15" s="58"/>
      <c r="V15" s="58"/>
      <c r="W15" s="58"/>
      <c r="X15" s="58"/>
      <c r="Y15" s="58"/>
      <c r="Z15" s="58"/>
      <c r="AA15" s="58"/>
      <c r="AB15" s="58"/>
    </row>
    <row r="16" spans="1:28" ht="12.75">
      <c r="A16" s="179" t="s">
        <v>282</v>
      </c>
      <c r="B16" s="58"/>
      <c r="C16" s="58"/>
      <c r="D16" s="320">
        <f>225/2.20462262/1000</f>
        <v>0.10205828333558511</v>
      </c>
      <c r="E16" s="232"/>
      <c r="F16" s="232"/>
      <c r="G16" s="232"/>
      <c r="H16" s="232"/>
      <c r="I16" s="232"/>
      <c r="J16" s="232"/>
      <c r="K16" s="232"/>
      <c r="L16" s="232"/>
      <c r="M16" s="62"/>
      <c r="N16" s="62"/>
      <c r="O16" s="62"/>
      <c r="P16" s="62"/>
      <c r="Q16" s="58"/>
      <c r="R16" s="58"/>
      <c r="S16" s="58"/>
      <c r="T16" s="58"/>
      <c r="U16" s="58"/>
      <c r="V16" s="58"/>
      <c r="W16" s="58"/>
      <c r="X16" s="58"/>
      <c r="Y16" s="58"/>
      <c r="Z16" s="58"/>
      <c r="AA16" s="58"/>
      <c r="AB16" s="58"/>
    </row>
    <row r="17" spans="1:28" ht="12.75">
      <c r="A17" s="58"/>
      <c r="B17" s="62"/>
      <c r="C17" s="85"/>
      <c r="D17" s="232"/>
      <c r="E17" s="232"/>
      <c r="F17" s="232"/>
      <c r="G17" s="232"/>
      <c r="H17" s="232"/>
      <c r="I17" s="232"/>
      <c r="J17" s="232"/>
      <c r="K17" s="232"/>
      <c r="L17" s="232"/>
      <c r="M17" s="62"/>
      <c r="N17" s="62"/>
      <c r="O17" s="62"/>
      <c r="P17" s="62"/>
      <c r="Q17" s="58"/>
      <c r="R17" s="58"/>
      <c r="S17" s="58"/>
      <c r="T17" s="58"/>
      <c r="U17" s="58"/>
      <c r="V17" s="58"/>
      <c r="W17" s="58"/>
      <c r="X17" s="58"/>
      <c r="Y17" s="58"/>
      <c r="Z17" s="58"/>
      <c r="AA17" s="58"/>
      <c r="AB17" s="58"/>
    </row>
    <row r="18" spans="1:28" ht="12.75">
      <c r="A18" s="58"/>
      <c r="B18" s="62"/>
      <c r="C18" s="85"/>
      <c r="D18" s="232"/>
      <c r="E18" s="232"/>
      <c r="F18" s="232"/>
      <c r="G18" s="232"/>
      <c r="H18" s="232"/>
      <c r="I18" s="232"/>
      <c r="J18" s="232"/>
      <c r="K18" s="232"/>
      <c r="L18" s="62"/>
      <c r="M18" s="62"/>
      <c r="N18" s="62"/>
      <c r="O18" s="62"/>
      <c r="P18" s="62"/>
      <c r="Q18" s="58"/>
      <c r="R18" s="58"/>
      <c r="S18" s="58"/>
      <c r="T18" s="58"/>
      <c r="U18" s="58"/>
      <c r="V18" s="58"/>
      <c r="W18" s="58"/>
      <c r="X18" s="58"/>
      <c r="Y18" s="58"/>
      <c r="Z18" s="58"/>
      <c r="AA18" s="58"/>
      <c r="AB18" s="58"/>
    </row>
    <row r="19" spans="1:28" ht="12.75">
      <c r="A19" s="58"/>
      <c r="B19" s="62"/>
      <c r="C19" s="85"/>
      <c r="D19" s="232"/>
      <c r="E19" s="232"/>
      <c r="F19" s="232"/>
      <c r="G19" s="232"/>
      <c r="H19" s="232"/>
      <c r="I19" s="232"/>
      <c r="J19" s="232"/>
      <c r="K19" s="232"/>
      <c r="L19" s="62"/>
      <c r="M19" s="62"/>
      <c r="N19" s="62"/>
      <c r="O19" s="62"/>
      <c r="P19" s="62"/>
      <c r="Q19" s="58"/>
      <c r="R19" s="58"/>
      <c r="S19" s="58"/>
      <c r="T19" s="58"/>
      <c r="U19" s="58"/>
      <c r="V19" s="58"/>
      <c r="W19" s="58"/>
      <c r="X19" s="58"/>
      <c r="Y19" s="58"/>
      <c r="Z19" s="58"/>
      <c r="AA19" s="58"/>
      <c r="AB19" s="58"/>
    </row>
    <row r="20" spans="1:28" ht="12.75">
      <c r="A20" s="58"/>
      <c r="B20" s="62"/>
      <c r="C20" s="85"/>
      <c r="D20" s="232"/>
      <c r="E20" s="232"/>
      <c r="F20" s="232"/>
      <c r="G20" s="232"/>
      <c r="H20" s="232"/>
      <c r="I20" s="232"/>
      <c r="J20" s="232"/>
      <c r="K20" s="232"/>
      <c r="L20" s="62"/>
      <c r="M20" s="62"/>
      <c r="N20" s="62"/>
      <c r="O20" s="62"/>
      <c r="P20" s="62"/>
      <c r="Q20" s="58"/>
      <c r="R20" s="58"/>
      <c r="S20" s="58"/>
      <c r="T20" s="58"/>
      <c r="U20" s="58"/>
      <c r="V20" s="58"/>
      <c r="W20" s="58"/>
      <c r="X20" s="58"/>
      <c r="Y20" s="58"/>
      <c r="Z20" s="58"/>
      <c r="AA20" s="58"/>
      <c r="AB20" s="58"/>
    </row>
    <row r="21" spans="1:28" ht="12.75">
      <c r="A21" s="58"/>
      <c r="B21" s="62"/>
      <c r="C21" s="62"/>
      <c r="D21" s="232"/>
      <c r="E21" s="232"/>
      <c r="F21" s="232"/>
      <c r="G21" s="232"/>
      <c r="H21" s="232"/>
      <c r="I21" s="232"/>
      <c r="J21" s="232"/>
      <c r="K21" s="232"/>
      <c r="L21" s="62"/>
      <c r="M21" s="62"/>
      <c r="N21" s="62"/>
      <c r="O21" s="62"/>
      <c r="P21" s="62"/>
      <c r="Q21" s="58"/>
      <c r="R21" s="58"/>
      <c r="S21" s="58"/>
      <c r="T21" s="58"/>
      <c r="U21" s="58"/>
      <c r="V21" s="58"/>
      <c r="W21" s="58"/>
      <c r="X21" s="58"/>
      <c r="Y21" s="58"/>
      <c r="Z21" s="58"/>
      <c r="AA21" s="58"/>
      <c r="AB21" s="58"/>
    </row>
    <row r="22" spans="1:28" ht="12.75">
      <c r="A22" s="58"/>
      <c r="B22" s="62"/>
      <c r="C22" s="62"/>
      <c r="D22" s="232"/>
      <c r="E22" s="232"/>
      <c r="F22" s="232"/>
      <c r="G22" s="232"/>
      <c r="H22" s="232"/>
      <c r="I22" s="232"/>
      <c r="J22" s="232"/>
      <c r="K22" s="232"/>
      <c r="L22" s="232"/>
      <c r="M22" s="62"/>
      <c r="N22" s="62"/>
      <c r="O22" s="62"/>
      <c r="P22" s="62"/>
      <c r="Q22" s="58"/>
      <c r="R22" s="58"/>
      <c r="S22" s="58"/>
      <c r="T22" s="58"/>
      <c r="U22" s="58"/>
      <c r="V22" s="58"/>
      <c r="W22" s="58"/>
      <c r="X22" s="58"/>
      <c r="Y22" s="58"/>
      <c r="Z22" s="58"/>
      <c r="AA22" s="58"/>
      <c r="AB22" s="58"/>
    </row>
    <row r="23" spans="1:28" ht="12.75">
      <c r="A23" s="58"/>
      <c r="B23" s="62"/>
      <c r="C23" s="62"/>
      <c r="D23" s="232"/>
      <c r="E23" s="232"/>
      <c r="F23" s="232"/>
      <c r="G23" s="232"/>
      <c r="H23" s="232"/>
      <c r="I23" s="232"/>
      <c r="J23" s="232"/>
      <c r="K23" s="232"/>
      <c r="L23" s="232"/>
      <c r="M23" s="62"/>
      <c r="N23" s="62"/>
      <c r="O23" s="62"/>
      <c r="P23" s="62"/>
      <c r="Q23" s="58"/>
      <c r="R23" s="58"/>
      <c r="S23" s="58"/>
      <c r="T23" s="58"/>
      <c r="U23" s="58"/>
      <c r="V23" s="58"/>
      <c r="W23" s="58"/>
      <c r="X23" s="58"/>
      <c r="Y23" s="58"/>
      <c r="Z23" s="58"/>
      <c r="AA23" s="58"/>
      <c r="AB23" s="58"/>
    </row>
    <row r="24" spans="1:28" ht="12.75">
      <c r="A24" s="58"/>
      <c r="B24" s="62"/>
      <c r="C24" s="62"/>
      <c r="D24" s="232"/>
      <c r="E24" s="232"/>
      <c r="F24" s="232"/>
      <c r="G24" s="232"/>
      <c r="H24" s="232"/>
      <c r="I24" s="232"/>
      <c r="J24" s="232"/>
      <c r="K24" s="232"/>
      <c r="L24" s="232"/>
      <c r="M24" s="62"/>
      <c r="N24" s="62"/>
      <c r="O24" s="62"/>
      <c r="P24" s="62"/>
      <c r="Q24" s="58"/>
      <c r="R24" s="58"/>
      <c r="S24" s="58"/>
      <c r="T24" s="58"/>
      <c r="U24" s="58"/>
      <c r="V24" s="58"/>
      <c r="W24" s="58"/>
      <c r="X24" s="58"/>
      <c r="Y24" s="58"/>
      <c r="Z24" s="58"/>
      <c r="AA24" s="58"/>
      <c r="AB24" s="58"/>
    </row>
    <row r="25" spans="1:28" ht="12.75">
      <c r="A25" s="58"/>
      <c r="B25" s="62"/>
      <c r="C25" s="62"/>
      <c r="D25" s="232"/>
      <c r="E25" s="317"/>
      <c r="F25" s="232"/>
      <c r="G25" s="232"/>
      <c r="H25" s="232"/>
      <c r="I25" s="232"/>
      <c r="J25" s="232"/>
      <c r="K25" s="232"/>
      <c r="L25" s="232"/>
      <c r="M25" s="62"/>
      <c r="N25" s="62"/>
      <c r="O25" s="62"/>
      <c r="P25" s="62"/>
      <c r="Q25" s="58"/>
      <c r="R25" s="58"/>
      <c r="S25" s="58"/>
      <c r="T25" s="58"/>
      <c r="U25" s="58"/>
      <c r="V25" s="58"/>
      <c r="W25" s="58"/>
      <c r="X25" s="58"/>
      <c r="Y25" s="58"/>
      <c r="Z25" s="58"/>
      <c r="AA25" s="58"/>
      <c r="AB25" s="58"/>
    </row>
    <row r="26" spans="1:28" ht="12.75">
      <c r="A26" s="58"/>
      <c r="B26" s="62"/>
      <c r="C26" s="85"/>
      <c r="D26" s="232"/>
      <c r="E26" s="232"/>
      <c r="F26" s="232"/>
      <c r="G26" s="232"/>
      <c r="H26" s="232"/>
      <c r="I26" s="232"/>
      <c r="J26" s="232"/>
      <c r="K26" s="232"/>
      <c r="L26" s="62"/>
      <c r="M26" s="62"/>
      <c r="N26" s="62"/>
      <c r="O26" s="62"/>
      <c r="P26" s="62"/>
      <c r="Q26" s="58"/>
      <c r="R26" s="58"/>
      <c r="S26" s="58"/>
      <c r="T26" s="58"/>
      <c r="U26" s="58"/>
      <c r="V26" s="58"/>
      <c r="W26" s="58"/>
      <c r="X26" s="58"/>
      <c r="Y26" s="58"/>
      <c r="Z26" s="58"/>
      <c r="AA26" s="58"/>
      <c r="AB26" s="58"/>
    </row>
    <row r="27" spans="1:28" ht="12.75">
      <c r="A27" s="58"/>
      <c r="B27" s="62"/>
      <c r="C27" s="62"/>
      <c r="D27" s="62"/>
      <c r="E27" s="62"/>
      <c r="F27" s="62"/>
      <c r="G27" s="62"/>
      <c r="H27" s="62"/>
      <c r="I27" s="62"/>
      <c r="J27" s="62"/>
      <c r="K27" s="62"/>
      <c r="L27" s="62"/>
      <c r="M27" s="62"/>
      <c r="N27" s="62"/>
      <c r="O27" s="62"/>
      <c r="P27" s="62"/>
      <c r="Q27" s="58"/>
      <c r="R27" s="58"/>
      <c r="S27" s="58"/>
      <c r="T27" s="58"/>
      <c r="U27" s="58"/>
      <c r="V27" s="58"/>
      <c r="W27" s="58"/>
      <c r="X27" s="58"/>
      <c r="Y27" s="58"/>
      <c r="Z27" s="58"/>
      <c r="AA27" s="58"/>
      <c r="AB27" s="58"/>
    </row>
    <row r="28" spans="1:28" ht="12.75">
      <c r="A28" s="58"/>
      <c r="B28" s="62"/>
      <c r="C28" s="85"/>
      <c r="D28" s="62"/>
      <c r="E28" s="62"/>
      <c r="F28" s="62"/>
      <c r="G28" s="62"/>
      <c r="H28" s="62"/>
      <c r="I28" s="62"/>
      <c r="J28" s="62"/>
      <c r="K28" s="62"/>
      <c r="L28" s="62"/>
      <c r="M28" s="62"/>
      <c r="N28" s="62"/>
      <c r="O28" s="62"/>
      <c r="P28" s="62"/>
      <c r="Q28" s="58"/>
      <c r="R28" s="58"/>
      <c r="S28" s="58"/>
      <c r="T28" s="58"/>
      <c r="U28" s="58"/>
      <c r="V28" s="58"/>
      <c r="W28" s="58"/>
      <c r="X28" s="58"/>
      <c r="Y28" s="58"/>
      <c r="Z28" s="58"/>
      <c r="AA28" s="58"/>
      <c r="AB28" s="58"/>
    </row>
    <row r="29" spans="1:28" ht="12.75">
      <c r="A29" s="58"/>
      <c r="B29" s="62"/>
      <c r="C29" s="62"/>
      <c r="D29" s="62"/>
      <c r="E29" s="62"/>
      <c r="F29" s="62"/>
      <c r="G29" s="62"/>
      <c r="H29" s="62"/>
      <c r="I29" s="62"/>
      <c r="J29" s="62"/>
      <c r="K29" s="62"/>
      <c r="L29" s="62"/>
      <c r="M29" s="62"/>
      <c r="N29" s="62"/>
      <c r="O29" s="62"/>
      <c r="P29" s="62"/>
      <c r="Q29" s="58"/>
      <c r="R29" s="58"/>
      <c r="S29" s="58"/>
      <c r="T29" s="58"/>
      <c r="U29" s="58"/>
      <c r="V29" s="58"/>
      <c r="W29" s="58"/>
      <c r="X29" s="58"/>
      <c r="Y29" s="58"/>
      <c r="Z29" s="58"/>
      <c r="AA29" s="58"/>
      <c r="AB29" s="58"/>
    </row>
    <row r="30" spans="1:28" ht="12.75">
      <c r="A30" s="58"/>
      <c r="B30" s="62"/>
      <c r="C30" s="62"/>
      <c r="D30" s="62"/>
      <c r="E30" s="62"/>
      <c r="F30" s="62"/>
      <c r="G30" s="62"/>
      <c r="H30" s="62"/>
      <c r="I30" s="62"/>
      <c r="J30" s="62"/>
      <c r="K30" s="62"/>
      <c r="L30" s="62"/>
      <c r="M30" s="62"/>
      <c r="N30" s="62"/>
      <c r="O30" s="62"/>
      <c r="P30" s="62"/>
      <c r="Q30" s="58"/>
      <c r="R30" s="58"/>
      <c r="S30" s="58"/>
      <c r="T30" s="58"/>
      <c r="U30" s="58"/>
      <c r="V30" s="58"/>
      <c r="W30" s="58"/>
      <c r="X30" s="58"/>
      <c r="Y30" s="58"/>
      <c r="Z30" s="58"/>
      <c r="AA30" s="58"/>
      <c r="AB30" s="58"/>
    </row>
    <row r="31" spans="1:28" ht="12.75">
      <c r="A31" s="58"/>
      <c r="B31" s="62"/>
      <c r="C31" s="62"/>
      <c r="D31" s="62"/>
      <c r="E31" s="62"/>
      <c r="F31" s="62"/>
      <c r="G31" s="62"/>
      <c r="H31" s="62"/>
      <c r="I31" s="62"/>
      <c r="J31" s="62"/>
      <c r="K31" s="62"/>
      <c r="L31" s="62"/>
      <c r="M31" s="62"/>
      <c r="N31" s="62"/>
      <c r="O31" s="62"/>
      <c r="P31" s="62"/>
      <c r="Q31" s="58"/>
      <c r="R31" s="58"/>
      <c r="S31" s="58"/>
      <c r="T31" s="58"/>
      <c r="U31" s="58"/>
      <c r="V31" s="58"/>
      <c r="W31" s="58"/>
      <c r="X31" s="58"/>
      <c r="Y31" s="58"/>
      <c r="Z31" s="58"/>
      <c r="AA31" s="58"/>
      <c r="AB31" s="58"/>
    </row>
    <row r="32" spans="1:28"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2.7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1:28" ht="12.7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1:28"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1:28" ht="12.7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1:28"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1:28" ht="12.7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ht="12.7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1:28" ht="12.7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12.7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row>
    <row r="44" spans="1:28" ht="12.7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1:28" ht="12.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row>
    <row r="46" spans="1:28" ht="12.7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row>
    <row r="47" spans="1:28" ht="12.7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row>
    <row r="48" spans="1:28"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row>
    <row r="49" spans="1:28" ht="12.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row>
    <row r="50" spans="1:28" ht="12.7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1:28"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1:28"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sheetData>
  <sheetProtection/>
  <mergeCells count="6">
    <mergeCell ref="A2:B2"/>
    <mergeCell ref="A3:B3"/>
    <mergeCell ref="A4:B4"/>
    <mergeCell ref="A5:B5"/>
    <mergeCell ref="A6:B6"/>
    <mergeCell ref="A7:B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rgb="FF002060"/>
  </sheetPr>
  <dimension ref="A2:R17"/>
  <sheetViews>
    <sheetView zoomScalePageLayoutView="0" workbookViewId="0" topLeftCell="A1">
      <selection activeCell="D6" sqref="D6"/>
    </sheetView>
  </sheetViews>
  <sheetFormatPr defaultColWidth="7.66015625" defaultRowHeight="12.75"/>
  <cols>
    <col min="1" max="1" width="11.83203125" style="0" customWidth="1"/>
    <col min="2" max="2" width="8.5" style="0" bestFit="1" customWidth="1"/>
    <col min="3" max="3" width="8.83203125" style="0" bestFit="1" customWidth="1"/>
    <col min="4" max="7" width="9.5" style="0" customWidth="1"/>
    <col min="8" max="9" width="9.66015625" style="0" customWidth="1"/>
    <col min="10" max="11" width="10.66015625" style="0" customWidth="1"/>
    <col min="12" max="12" width="11.16015625" style="0" customWidth="1"/>
    <col min="13" max="13" width="9" style="0" customWidth="1"/>
    <col min="14" max="15" width="7.66015625" style="0" customWidth="1"/>
    <col min="16" max="16" width="10.33203125" style="0" customWidth="1"/>
  </cols>
  <sheetData>
    <row r="2" spans="1:14" ht="12.75">
      <c r="A2" s="86" t="s">
        <v>233</v>
      </c>
      <c r="B2" s="86"/>
      <c r="E2" s="194" t="s">
        <v>236</v>
      </c>
      <c r="F2" s="194"/>
      <c r="G2" s="194"/>
      <c r="H2" s="194"/>
      <c r="I2" s="194"/>
      <c r="J2" s="194"/>
      <c r="K2" s="194"/>
      <c r="L2" s="194"/>
      <c r="M2" s="194"/>
      <c r="N2" s="194"/>
    </row>
    <row r="5" spans="2:16" ht="12.75">
      <c r="B5" s="496" t="s">
        <v>243</v>
      </c>
      <c r="C5" s="496"/>
      <c r="D5" s="496"/>
      <c r="E5" s="496"/>
      <c r="F5" s="496"/>
      <c r="G5" s="496"/>
      <c r="H5" s="496"/>
      <c r="I5" s="496"/>
      <c r="J5" s="496"/>
      <c r="K5" s="496"/>
      <c r="L5" s="496"/>
      <c r="M5" s="496"/>
      <c r="P5" s="86" t="s">
        <v>240</v>
      </c>
    </row>
    <row r="6" spans="1:16" ht="12.75">
      <c r="A6" s="86" t="s">
        <v>231</v>
      </c>
      <c r="B6" s="88" t="s">
        <v>51</v>
      </c>
      <c r="C6" s="88" t="s">
        <v>40</v>
      </c>
      <c r="D6" s="88" t="s">
        <v>218</v>
      </c>
      <c r="E6" s="88" t="s">
        <v>215</v>
      </c>
      <c r="F6" s="88" t="s">
        <v>216</v>
      </c>
      <c r="G6" s="88" t="s">
        <v>217</v>
      </c>
      <c r="H6" s="88" t="s">
        <v>34</v>
      </c>
      <c r="I6" s="88" t="s">
        <v>39</v>
      </c>
      <c r="J6" s="88" t="s">
        <v>49</v>
      </c>
      <c r="K6" s="196" t="s">
        <v>26</v>
      </c>
      <c r="L6" s="88" t="s">
        <v>56</v>
      </c>
      <c r="M6" s="88" t="s">
        <v>53</v>
      </c>
      <c r="P6" s="86" t="s">
        <v>237</v>
      </c>
    </row>
    <row r="7" spans="1:16" ht="12.75">
      <c r="A7" s="86" t="s">
        <v>232</v>
      </c>
      <c r="B7" s="195" t="s">
        <v>61</v>
      </c>
      <c r="C7" s="195" t="s">
        <v>61</v>
      </c>
      <c r="D7" s="195" t="s">
        <v>61</v>
      </c>
      <c r="E7" s="195" t="s">
        <v>61</v>
      </c>
      <c r="F7" s="195" t="s">
        <v>61</v>
      </c>
      <c r="G7" s="195" t="s">
        <v>61</v>
      </c>
      <c r="H7" s="195" t="s">
        <v>61</v>
      </c>
      <c r="I7" s="195" t="s">
        <v>61</v>
      </c>
      <c r="J7" s="196" t="s">
        <v>235</v>
      </c>
      <c r="K7" s="196" t="s">
        <v>61</v>
      </c>
      <c r="L7" s="196" t="s">
        <v>59</v>
      </c>
      <c r="M7" s="196" t="s">
        <v>234</v>
      </c>
      <c r="P7" s="86"/>
    </row>
    <row r="8" spans="1:17" ht="12.75">
      <c r="A8" s="189">
        <v>2003</v>
      </c>
      <c r="B8" s="186">
        <v>25.31</v>
      </c>
      <c r="C8" s="186">
        <v>35</v>
      </c>
      <c r="D8" s="186">
        <f>(C8*0.9)+($Q$9*0.1)</f>
        <v>33.86</v>
      </c>
      <c r="E8" s="186">
        <f aca="true" t="shared" si="0" ref="E8:E17">($H8*0.95)+($Q$10*0.05)</f>
        <v>38.17</v>
      </c>
      <c r="F8" s="186">
        <f aca="true" t="shared" si="1" ref="F8:F17">($H8*0.9)+($Q$10*0.1)</f>
        <v>38.04</v>
      </c>
      <c r="G8" s="186">
        <f aca="true" t="shared" si="2" ref="G8:G17">($H8*0.8)+($Q$10*0.2)</f>
        <v>37.78</v>
      </c>
      <c r="H8" s="185">
        <v>38.3</v>
      </c>
      <c r="I8" s="185">
        <v>38.8</v>
      </c>
      <c r="J8" s="185">
        <v>38.2</v>
      </c>
      <c r="K8" s="185">
        <v>38.09</v>
      </c>
      <c r="L8" s="185">
        <v>3.6</v>
      </c>
      <c r="M8" s="185">
        <v>18</v>
      </c>
      <c r="Q8" s="86" t="s">
        <v>242</v>
      </c>
    </row>
    <row r="9" spans="1:18" ht="12.75">
      <c r="A9" s="189">
        <v>2004</v>
      </c>
      <c r="B9" s="186">
        <v>25.31</v>
      </c>
      <c r="C9" s="186">
        <v>35</v>
      </c>
      <c r="D9" s="186">
        <f aca="true" t="shared" si="3" ref="D9:D17">(C9*0.9)+($Q$9*0.1)</f>
        <v>33.86</v>
      </c>
      <c r="E9" s="186">
        <f t="shared" si="0"/>
        <v>38.17</v>
      </c>
      <c r="F9" s="186">
        <f t="shared" si="1"/>
        <v>38.04</v>
      </c>
      <c r="G9" s="186">
        <f t="shared" si="2"/>
        <v>37.78</v>
      </c>
      <c r="H9" s="185">
        <v>38.3</v>
      </c>
      <c r="I9" s="185">
        <v>38.8</v>
      </c>
      <c r="J9" s="185">
        <v>38.21</v>
      </c>
      <c r="K9" s="185">
        <v>38.09</v>
      </c>
      <c r="L9" s="185">
        <v>3.6</v>
      </c>
      <c r="M9" s="185">
        <v>18</v>
      </c>
      <c r="P9" t="s">
        <v>238</v>
      </c>
      <c r="Q9" s="129">
        <v>23.6</v>
      </c>
      <c r="R9" s="86"/>
    </row>
    <row r="10" spans="1:18" ht="12.75">
      <c r="A10" s="189">
        <v>2005</v>
      </c>
      <c r="B10" s="186">
        <v>25.31</v>
      </c>
      <c r="C10" s="186">
        <v>35</v>
      </c>
      <c r="D10" s="186">
        <f t="shared" si="3"/>
        <v>33.86</v>
      </c>
      <c r="E10" s="186">
        <f t="shared" si="0"/>
        <v>38.17</v>
      </c>
      <c r="F10" s="186">
        <f t="shared" si="1"/>
        <v>38.04</v>
      </c>
      <c r="G10" s="186">
        <f t="shared" si="2"/>
        <v>37.78</v>
      </c>
      <c r="H10" s="185">
        <v>38.3</v>
      </c>
      <c r="I10" s="185">
        <v>38.8</v>
      </c>
      <c r="J10" s="185">
        <v>38.26</v>
      </c>
      <c r="K10" s="185">
        <v>38.09</v>
      </c>
      <c r="L10" s="185">
        <v>3.6</v>
      </c>
      <c r="M10" s="185">
        <v>18</v>
      </c>
      <c r="P10" s="86" t="s">
        <v>239</v>
      </c>
      <c r="Q10" s="129">
        <v>35.7</v>
      </c>
      <c r="R10" t="s">
        <v>241</v>
      </c>
    </row>
    <row r="11" spans="1:16" ht="12.75">
      <c r="A11" s="189">
        <v>2006</v>
      </c>
      <c r="B11" s="186">
        <v>25.31</v>
      </c>
      <c r="C11" s="186">
        <v>35</v>
      </c>
      <c r="D11" s="186">
        <f t="shared" si="3"/>
        <v>33.86</v>
      </c>
      <c r="E11" s="186">
        <f t="shared" si="0"/>
        <v>38.17</v>
      </c>
      <c r="F11" s="186">
        <f t="shared" si="1"/>
        <v>38.04</v>
      </c>
      <c r="G11" s="186">
        <f t="shared" si="2"/>
        <v>37.78</v>
      </c>
      <c r="H11" s="185">
        <v>38.3</v>
      </c>
      <c r="I11" s="185">
        <v>38.8</v>
      </c>
      <c r="J11" s="185">
        <v>38.18</v>
      </c>
      <c r="K11" s="185">
        <v>38.09</v>
      </c>
      <c r="L11" s="185">
        <v>3.6</v>
      </c>
      <c r="M11" s="185">
        <v>18</v>
      </c>
      <c r="P11" s="86"/>
    </row>
    <row r="12" spans="1:13" ht="12.75">
      <c r="A12" s="189">
        <v>2007</v>
      </c>
      <c r="B12" s="186">
        <v>25.31</v>
      </c>
      <c r="C12" s="186">
        <v>35</v>
      </c>
      <c r="D12" s="186">
        <f t="shared" si="3"/>
        <v>33.86</v>
      </c>
      <c r="E12" s="186">
        <f t="shared" si="0"/>
        <v>38.17</v>
      </c>
      <c r="F12" s="186">
        <f t="shared" si="1"/>
        <v>38.04</v>
      </c>
      <c r="G12" s="186">
        <f t="shared" si="2"/>
        <v>37.78</v>
      </c>
      <c r="H12" s="185">
        <v>38.3</v>
      </c>
      <c r="I12" s="185">
        <v>38.8</v>
      </c>
      <c r="J12" s="185">
        <v>38.11</v>
      </c>
      <c r="K12" s="185">
        <v>38.09</v>
      </c>
      <c r="L12" s="185">
        <v>3.6</v>
      </c>
      <c r="M12" s="185">
        <v>18</v>
      </c>
    </row>
    <row r="13" spans="1:13" ht="12.75">
      <c r="A13" s="189">
        <v>2008</v>
      </c>
      <c r="B13" s="186">
        <v>25.31</v>
      </c>
      <c r="C13" s="186">
        <v>35</v>
      </c>
      <c r="D13" s="186">
        <f t="shared" si="3"/>
        <v>33.86</v>
      </c>
      <c r="E13" s="186">
        <f t="shared" si="0"/>
        <v>38.17</v>
      </c>
      <c r="F13" s="186">
        <f t="shared" si="1"/>
        <v>38.04</v>
      </c>
      <c r="G13" s="186">
        <f t="shared" si="2"/>
        <v>37.78</v>
      </c>
      <c r="H13" s="185">
        <v>38.3</v>
      </c>
      <c r="I13" s="185">
        <v>38.8</v>
      </c>
      <c r="J13" s="185">
        <v>38.26</v>
      </c>
      <c r="K13" s="185">
        <v>38.09</v>
      </c>
      <c r="L13" s="185">
        <v>3.6</v>
      </c>
      <c r="M13" s="185">
        <v>18</v>
      </c>
    </row>
    <row r="14" spans="1:13" ht="12.75">
      <c r="A14" s="189">
        <v>2009</v>
      </c>
      <c r="B14" s="186">
        <v>25.31</v>
      </c>
      <c r="C14" s="186">
        <v>35</v>
      </c>
      <c r="D14" s="186">
        <f t="shared" si="3"/>
        <v>33.86</v>
      </c>
      <c r="E14" s="186">
        <f t="shared" si="0"/>
        <v>38.17</v>
      </c>
      <c r="F14" s="186">
        <f t="shared" si="1"/>
        <v>38.04</v>
      </c>
      <c r="G14" s="186">
        <f t="shared" si="2"/>
        <v>37.78</v>
      </c>
      <c r="H14" s="185">
        <v>38.3</v>
      </c>
      <c r="I14" s="185">
        <v>38.8</v>
      </c>
      <c r="J14" s="185">
        <v>38.43</v>
      </c>
      <c r="K14" s="185">
        <v>38.09</v>
      </c>
      <c r="L14" s="185">
        <v>3.6</v>
      </c>
      <c r="M14" s="185">
        <v>18</v>
      </c>
    </row>
    <row r="15" spans="1:13" ht="12.75">
      <c r="A15" s="189">
        <v>2010</v>
      </c>
      <c r="B15" s="186">
        <v>25.31</v>
      </c>
      <c r="C15" s="186">
        <v>35</v>
      </c>
      <c r="D15" s="186">
        <f t="shared" si="3"/>
        <v>33.86</v>
      </c>
      <c r="E15" s="186">
        <f t="shared" si="0"/>
        <v>38.17</v>
      </c>
      <c r="F15" s="186">
        <f t="shared" si="1"/>
        <v>38.04</v>
      </c>
      <c r="G15" s="186">
        <f t="shared" si="2"/>
        <v>37.78</v>
      </c>
      <c r="H15" s="185">
        <v>38.3</v>
      </c>
      <c r="I15" s="185">
        <v>38.8</v>
      </c>
      <c r="J15" s="185">
        <v>38.43</v>
      </c>
      <c r="K15" s="185">
        <v>38.09</v>
      </c>
      <c r="L15" s="185">
        <v>3.6</v>
      </c>
      <c r="M15" s="185">
        <v>18</v>
      </c>
    </row>
    <row r="16" spans="1:13" ht="12.75">
      <c r="A16" s="189">
        <v>2011</v>
      </c>
      <c r="B16" s="187">
        <v>25.31</v>
      </c>
      <c r="C16" s="187">
        <v>35</v>
      </c>
      <c r="D16" s="187">
        <f t="shared" si="3"/>
        <v>33.86</v>
      </c>
      <c r="E16" s="187">
        <f t="shared" si="0"/>
        <v>38.17</v>
      </c>
      <c r="F16" s="187">
        <f t="shared" si="1"/>
        <v>38.04</v>
      </c>
      <c r="G16" s="187">
        <f t="shared" si="2"/>
        <v>37.78</v>
      </c>
      <c r="H16" s="188">
        <v>38.3</v>
      </c>
      <c r="I16" s="188">
        <v>38.8</v>
      </c>
      <c r="J16" s="188">
        <v>38.43</v>
      </c>
      <c r="K16" s="188">
        <v>38.09</v>
      </c>
      <c r="L16" s="188">
        <v>3.6</v>
      </c>
      <c r="M16" s="188">
        <v>18</v>
      </c>
    </row>
    <row r="17" spans="1:13" ht="12.75">
      <c r="A17" s="189">
        <v>2012</v>
      </c>
      <c r="B17" s="187">
        <v>25.31</v>
      </c>
      <c r="C17" s="187">
        <v>35</v>
      </c>
      <c r="D17" s="187">
        <f t="shared" si="3"/>
        <v>33.86</v>
      </c>
      <c r="E17" s="187">
        <f t="shared" si="0"/>
        <v>38.17</v>
      </c>
      <c r="F17" s="187">
        <f t="shared" si="1"/>
        <v>38.04</v>
      </c>
      <c r="G17" s="187">
        <f t="shared" si="2"/>
        <v>37.78</v>
      </c>
      <c r="H17" s="188">
        <v>38.3</v>
      </c>
      <c r="I17" s="188">
        <v>38.8</v>
      </c>
      <c r="J17" s="188">
        <v>38.43</v>
      </c>
      <c r="K17" s="188">
        <v>38.09</v>
      </c>
      <c r="L17" s="188">
        <v>3.6</v>
      </c>
      <c r="M17" s="188">
        <v>18</v>
      </c>
    </row>
  </sheetData>
  <sheetProtection/>
  <mergeCells count="1">
    <mergeCell ref="B5:M5"/>
  </mergeCells>
  <hyperlinks>
    <hyperlink ref="E2" r:id="rId1" tooltip="Statistics Canada's Report on Energy Supply-Demand in Canada 2005." display="http://www.statcan.ca/english/freepub/57-003-XIE/57-003-XIE2005000.htm"/>
    <hyperlink ref="E2:N2" r:id="rId2" tooltip="Statistics Canada's Report on Energy Supply-Demand in Canada 2005." display="Statistics Canada's Report on Energy Supply-Demand in Canada 2005"/>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theme="3" tint="-0.24997000396251678"/>
  </sheetPr>
  <dimension ref="A1:AB101"/>
  <sheetViews>
    <sheetView zoomScalePageLayoutView="0" workbookViewId="0" topLeftCell="A1">
      <selection activeCell="M38" sqref="M38"/>
    </sheetView>
  </sheetViews>
  <sheetFormatPr defaultColWidth="9.33203125" defaultRowHeight="12.75"/>
  <cols>
    <col min="3" max="3" width="16.5" style="0" customWidth="1"/>
    <col min="4" max="4" width="14.83203125" style="0" customWidth="1"/>
    <col min="7" max="7" width="27" style="0" customWidth="1"/>
    <col min="8" max="8" width="18.16015625" style="0" customWidth="1"/>
    <col min="9" max="9" width="14.66015625" style="0" customWidth="1"/>
  </cols>
  <sheetData>
    <row r="1" spans="1:28" ht="12.7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row>
    <row r="2" spans="1:28" ht="12.75">
      <c r="A2" s="58"/>
      <c r="B2" s="179" t="s">
        <v>299</v>
      </c>
      <c r="C2" s="58"/>
      <c r="D2" s="58"/>
      <c r="E2" s="58"/>
      <c r="F2" s="58"/>
      <c r="G2" s="58"/>
      <c r="H2" s="58"/>
      <c r="I2" s="58"/>
      <c r="J2" s="58"/>
      <c r="K2" s="58"/>
      <c r="L2" s="58"/>
      <c r="M2" s="58"/>
      <c r="N2" s="58"/>
      <c r="O2" s="58"/>
      <c r="P2" s="58"/>
      <c r="Q2" s="58"/>
      <c r="R2" s="58"/>
      <c r="S2" s="58"/>
      <c r="T2" s="58"/>
      <c r="U2" s="58"/>
      <c r="V2" s="58"/>
      <c r="W2" s="58"/>
      <c r="X2" s="58"/>
      <c r="Y2" s="58"/>
      <c r="Z2" s="58"/>
      <c r="AA2" s="58"/>
      <c r="AB2" s="58"/>
    </row>
    <row r="3" spans="1:28" ht="12.7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row>
    <row r="4" spans="1:28" ht="12.75">
      <c r="A4" s="58"/>
      <c r="B4" s="179" t="s">
        <v>300</v>
      </c>
      <c r="C4" s="58"/>
      <c r="D4" s="58"/>
      <c r="E4" s="58"/>
      <c r="F4" s="58"/>
      <c r="G4" s="179" t="s">
        <v>301</v>
      </c>
      <c r="H4" s="500">
        <v>2009</v>
      </c>
      <c r="I4" s="500"/>
      <c r="J4" s="58"/>
      <c r="K4" s="58"/>
      <c r="L4" s="58"/>
      <c r="M4" s="58"/>
      <c r="N4" s="58"/>
      <c r="O4" s="58"/>
      <c r="P4" s="58"/>
      <c r="Q4" s="58"/>
      <c r="R4" s="58"/>
      <c r="S4" s="58"/>
      <c r="T4" s="58"/>
      <c r="U4" s="58"/>
      <c r="V4" s="58"/>
      <c r="W4" s="58"/>
      <c r="X4" s="58"/>
      <c r="Y4" s="58"/>
      <c r="Z4" s="58"/>
      <c r="AA4" s="58"/>
      <c r="AB4" s="58"/>
    </row>
    <row r="5" spans="1:28" ht="13.5" customHeight="1">
      <c r="A5" s="58"/>
      <c r="B5" s="179"/>
      <c r="C5" s="497" t="s">
        <v>277</v>
      </c>
      <c r="D5" s="497" t="s">
        <v>278</v>
      </c>
      <c r="E5" s="58"/>
      <c r="F5" s="58"/>
      <c r="G5" s="315"/>
      <c r="H5" s="497" t="s">
        <v>277</v>
      </c>
      <c r="I5" s="497" t="s">
        <v>278</v>
      </c>
      <c r="J5" s="58"/>
      <c r="K5" s="58"/>
      <c r="L5" s="58"/>
      <c r="M5" s="58"/>
      <c r="N5" s="58"/>
      <c r="O5" s="232"/>
      <c r="P5" s="58"/>
      <c r="Q5" s="58"/>
      <c r="R5" s="58"/>
      <c r="S5" s="58"/>
      <c r="T5" s="58"/>
      <c r="U5" s="58"/>
      <c r="V5" s="58"/>
      <c r="W5" s="58"/>
      <c r="X5" s="58"/>
      <c r="Y5" s="58"/>
      <c r="Z5" s="58"/>
      <c r="AA5" s="58"/>
      <c r="AB5" s="58"/>
    </row>
    <row r="6" spans="1:28" ht="12.75" customHeight="1">
      <c r="A6" s="58"/>
      <c r="B6" s="503" t="s">
        <v>276</v>
      </c>
      <c r="C6" s="498"/>
      <c r="D6" s="498"/>
      <c r="E6" s="58"/>
      <c r="F6" s="58"/>
      <c r="G6" s="315"/>
      <c r="H6" s="498"/>
      <c r="I6" s="498"/>
      <c r="J6" s="58"/>
      <c r="K6" s="58"/>
      <c r="L6" s="58"/>
      <c r="M6" s="58"/>
      <c r="N6" s="58"/>
      <c r="O6" s="474"/>
      <c r="P6" s="58"/>
      <c r="Q6" s="58"/>
      <c r="R6" s="58"/>
      <c r="S6" s="58"/>
      <c r="T6" s="58"/>
      <c r="U6" s="58"/>
      <c r="V6" s="58"/>
      <c r="W6" s="58"/>
      <c r="X6" s="58"/>
      <c r="Y6" s="58"/>
      <c r="Z6" s="58"/>
      <c r="AA6" s="58"/>
      <c r="AB6" s="58"/>
    </row>
    <row r="7" spans="1:28" ht="14.25" customHeight="1">
      <c r="A7" s="58"/>
      <c r="B7" s="503"/>
      <c r="C7" s="499"/>
      <c r="D7" s="499"/>
      <c r="E7" s="58"/>
      <c r="F7" s="58"/>
      <c r="G7" s="338" t="s">
        <v>177</v>
      </c>
      <c r="H7" s="499"/>
      <c r="I7" s="499"/>
      <c r="J7" s="58"/>
      <c r="K7" s="58"/>
      <c r="L7" s="58"/>
      <c r="M7" s="58"/>
      <c r="N7" s="58"/>
      <c r="O7" s="474"/>
      <c r="P7" s="58"/>
      <c r="Q7" s="58"/>
      <c r="R7" s="58"/>
      <c r="S7" s="58"/>
      <c r="T7" s="58"/>
      <c r="U7" s="58"/>
      <c r="V7" s="58"/>
      <c r="W7" s="58"/>
      <c r="X7" s="58"/>
      <c r="Y7" s="58"/>
      <c r="Z7" s="58"/>
      <c r="AA7" s="58"/>
      <c r="AB7" s="58"/>
    </row>
    <row r="8" spans="1:28" ht="12.75">
      <c r="A8" s="58"/>
      <c r="B8" s="330">
        <v>2000</v>
      </c>
      <c r="C8" s="304">
        <v>16944</v>
      </c>
      <c r="D8" s="305">
        <v>1.43</v>
      </c>
      <c r="E8" s="58"/>
      <c r="F8" s="58"/>
      <c r="G8" s="338" t="s">
        <v>8</v>
      </c>
      <c r="H8" s="304">
        <v>16144</v>
      </c>
      <c r="I8" s="332">
        <v>1.87</v>
      </c>
      <c r="J8" s="58"/>
      <c r="K8" s="58"/>
      <c r="L8" s="58"/>
      <c r="M8" s="58"/>
      <c r="N8" s="58"/>
      <c r="O8" s="232"/>
      <c r="P8" s="58"/>
      <c r="Q8" s="58"/>
      <c r="R8" s="58"/>
      <c r="S8" s="58"/>
      <c r="T8" s="58"/>
      <c r="U8" s="58"/>
      <c r="V8" s="58"/>
      <c r="W8" s="58"/>
      <c r="X8" s="58"/>
      <c r="Y8" s="58"/>
      <c r="Z8" s="58"/>
      <c r="AA8" s="58"/>
      <c r="AB8" s="58"/>
    </row>
    <row r="9" spans="1:28" ht="12.75">
      <c r="A9" s="58"/>
      <c r="B9" s="330">
        <v>2001</v>
      </c>
      <c r="C9" s="304">
        <v>16877</v>
      </c>
      <c r="D9" s="305">
        <v>1.42</v>
      </c>
      <c r="E9" s="58"/>
      <c r="F9" s="58"/>
      <c r="G9" s="338" t="s">
        <v>9</v>
      </c>
      <c r="H9" s="304">
        <v>12892</v>
      </c>
      <c r="I9" s="332">
        <v>1.43</v>
      </c>
      <c r="J9" s="58"/>
      <c r="K9" s="58"/>
      <c r="L9" s="58"/>
      <c r="M9" s="179"/>
      <c r="N9" s="58"/>
      <c r="O9" s="232"/>
      <c r="P9" s="58"/>
      <c r="Q9" s="58"/>
      <c r="R9" s="58"/>
      <c r="S9" s="58"/>
      <c r="T9" s="58"/>
      <c r="U9" s="58"/>
      <c r="V9" s="58"/>
      <c r="W9" s="58"/>
      <c r="X9" s="58"/>
      <c r="Y9" s="58"/>
      <c r="Z9" s="58"/>
      <c r="AA9" s="58"/>
      <c r="AB9" s="58"/>
    </row>
    <row r="10" spans="1:28" ht="12.75">
      <c r="A10" s="58"/>
      <c r="B10" s="330">
        <v>2002</v>
      </c>
      <c r="C10" s="304">
        <v>16782</v>
      </c>
      <c r="D10" s="305">
        <v>1.44</v>
      </c>
      <c r="E10" s="58"/>
      <c r="F10" s="58"/>
      <c r="G10" s="338" t="s">
        <v>10</v>
      </c>
      <c r="H10" s="304">
        <v>14963</v>
      </c>
      <c r="I10" s="332">
        <v>1.42</v>
      </c>
      <c r="J10" s="58"/>
      <c r="K10" s="58"/>
      <c r="L10" s="58"/>
      <c r="M10" s="58"/>
      <c r="N10" s="58"/>
      <c r="O10" s="232"/>
      <c r="P10" s="58"/>
      <c r="Q10" s="58"/>
      <c r="R10" s="58"/>
      <c r="S10" s="58"/>
      <c r="T10" s="58"/>
      <c r="U10" s="58"/>
      <c r="V10" s="58"/>
      <c r="W10" s="58"/>
      <c r="X10" s="58"/>
      <c r="Y10" s="58"/>
      <c r="Z10" s="58"/>
      <c r="AA10" s="58"/>
      <c r="AB10" s="58"/>
    </row>
    <row r="11" spans="1:28" ht="12.75">
      <c r="A11" s="58"/>
      <c r="B11" s="330">
        <v>2003</v>
      </c>
      <c r="C11" s="304">
        <v>16334</v>
      </c>
      <c r="D11" s="305">
        <v>1.44</v>
      </c>
      <c r="E11" s="58"/>
      <c r="F11" s="58"/>
      <c r="G11" s="338" t="s">
        <v>11</v>
      </c>
      <c r="H11" s="304">
        <v>16118</v>
      </c>
      <c r="I11" s="332">
        <v>1.55</v>
      </c>
      <c r="J11" s="58"/>
      <c r="K11" s="58"/>
      <c r="L11" s="58"/>
      <c r="M11" s="58"/>
      <c r="N11" s="58"/>
      <c r="O11" s="232"/>
      <c r="P11" s="58"/>
      <c r="Q11" s="58"/>
      <c r="R11" s="58"/>
      <c r="S11" s="58"/>
      <c r="T11" s="58"/>
      <c r="U11" s="58"/>
      <c r="V11" s="58"/>
      <c r="W11" s="58"/>
      <c r="X11" s="58"/>
      <c r="Y11" s="58"/>
      <c r="Z11" s="58"/>
      <c r="AA11" s="58"/>
      <c r="AB11" s="58"/>
    </row>
    <row r="12" spans="1:28" ht="12.75">
      <c r="A12" s="58"/>
      <c r="B12" s="330">
        <v>2004</v>
      </c>
      <c r="C12" s="304">
        <v>16036</v>
      </c>
      <c r="D12" s="305">
        <v>1.44</v>
      </c>
      <c r="E12" s="58"/>
      <c r="F12" s="58"/>
      <c r="G12" s="338" t="s">
        <v>178</v>
      </c>
      <c r="H12" s="304">
        <v>15056</v>
      </c>
      <c r="I12" s="332">
        <v>1.4</v>
      </c>
      <c r="J12" s="58"/>
      <c r="K12" s="58"/>
      <c r="L12" s="58"/>
      <c r="M12" s="58"/>
      <c r="N12" s="58"/>
      <c r="O12" s="232"/>
      <c r="P12" s="58"/>
      <c r="Q12" s="58"/>
      <c r="R12" s="58"/>
      <c r="S12" s="58"/>
      <c r="T12" s="58"/>
      <c r="U12" s="58"/>
      <c r="V12" s="58"/>
      <c r="W12" s="58"/>
      <c r="X12" s="58"/>
      <c r="Y12" s="58"/>
      <c r="Z12" s="58"/>
      <c r="AA12" s="58"/>
      <c r="AB12" s="58"/>
    </row>
    <row r="13" spans="1:28" ht="12.75">
      <c r="A13" s="58"/>
      <c r="B13" s="330">
        <v>2005</v>
      </c>
      <c r="C13" s="304">
        <v>15976</v>
      </c>
      <c r="D13" s="305">
        <v>1.44</v>
      </c>
      <c r="E13" s="58"/>
      <c r="F13" s="58"/>
      <c r="G13" s="338" t="s">
        <v>13</v>
      </c>
      <c r="H13" s="351">
        <v>15366</v>
      </c>
      <c r="I13" s="340">
        <v>1.49</v>
      </c>
      <c r="J13" s="58"/>
      <c r="K13" s="58"/>
      <c r="L13" s="58"/>
      <c r="M13" s="58"/>
      <c r="N13" s="58"/>
      <c r="O13" s="232"/>
      <c r="P13" s="58"/>
      <c r="Q13" s="58"/>
      <c r="R13" s="58"/>
      <c r="S13" s="58"/>
      <c r="T13" s="58"/>
      <c r="U13" s="58"/>
      <c r="V13" s="58"/>
      <c r="W13" s="58"/>
      <c r="X13" s="58"/>
      <c r="Y13" s="58"/>
      <c r="Z13" s="58"/>
      <c r="AA13" s="58"/>
      <c r="AB13" s="58"/>
    </row>
    <row r="14" spans="1:28" ht="12.75">
      <c r="A14" s="58"/>
      <c r="B14" s="330">
        <v>2006</v>
      </c>
      <c r="C14" s="304">
        <v>16015</v>
      </c>
      <c r="D14" s="305">
        <v>1.45</v>
      </c>
      <c r="E14" s="58"/>
      <c r="F14" s="58"/>
      <c r="G14" s="338" t="s">
        <v>14</v>
      </c>
      <c r="H14" s="304">
        <v>17427</v>
      </c>
      <c r="I14" s="305">
        <v>1.37</v>
      </c>
      <c r="J14" s="58"/>
      <c r="K14" s="58"/>
      <c r="L14" s="58"/>
      <c r="M14" s="58"/>
      <c r="N14" s="58"/>
      <c r="O14" s="232"/>
      <c r="P14" s="58"/>
      <c r="Q14" s="58"/>
      <c r="R14" s="58"/>
      <c r="S14" s="58"/>
      <c r="T14" s="58"/>
      <c r="U14" s="58"/>
      <c r="V14" s="58"/>
      <c r="W14" s="58"/>
      <c r="X14" s="58"/>
      <c r="Y14" s="58"/>
      <c r="Z14" s="58"/>
      <c r="AA14" s="58"/>
      <c r="AB14" s="58"/>
    </row>
    <row r="15" spans="1:28" ht="12.75">
      <c r="A15" s="58"/>
      <c r="B15" s="330">
        <v>2007</v>
      </c>
      <c r="C15" s="304">
        <v>15794</v>
      </c>
      <c r="D15" s="305">
        <v>1.46</v>
      </c>
      <c r="E15" s="58"/>
      <c r="F15" s="58"/>
      <c r="G15" s="338" t="s">
        <v>15</v>
      </c>
      <c r="H15" s="351">
        <v>15366</v>
      </c>
      <c r="I15" s="340">
        <v>1.49</v>
      </c>
      <c r="J15" s="58"/>
      <c r="K15" s="58"/>
      <c r="L15" s="58"/>
      <c r="M15" s="58"/>
      <c r="N15" s="58"/>
      <c r="O15" s="232"/>
      <c r="P15" s="58"/>
      <c r="Q15" s="58"/>
      <c r="R15" s="58"/>
      <c r="S15" s="58"/>
      <c r="T15" s="58"/>
      <c r="U15" s="58"/>
      <c r="V15" s="58"/>
      <c r="W15" s="58"/>
      <c r="X15" s="58"/>
      <c r="Y15" s="58"/>
      <c r="Z15" s="58"/>
      <c r="AA15" s="58"/>
      <c r="AB15" s="58"/>
    </row>
    <row r="16" spans="1:28" ht="12.75">
      <c r="A16" s="58"/>
      <c r="B16" s="330">
        <v>2008</v>
      </c>
      <c r="C16" s="304">
        <v>15153</v>
      </c>
      <c r="D16" s="305">
        <v>1.48</v>
      </c>
      <c r="E16" s="58"/>
      <c r="F16" s="58"/>
      <c r="G16" s="338" t="s">
        <v>16</v>
      </c>
      <c r="H16" s="304">
        <v>16196</v>
      </c>
      <c r="I16" s="305">
        <v>1.45</v>
      </c>
      <c r="J16" s="58"/>
      <c r="K16" s="58"/>
      <c r="L16" s="58"/>
      <c r="M16" s="58"/>
      <c r="N16" s="58"/>
      <c r="O16" s="232"/>
      <c r="P16" s="58"/>
      <c r="Q16" s="58"/>
      <c r="R16" s="58"/>
      <c r="S16" s="58"/>
      <c r="T16" s="58"/>
      <c r="U16" s="58"/>
      <c r="V16" s="58"/>
      <c r="W16" s="58"/>
      <c r="X16" s="58"/>
      <c r="Y16" s="58"/>
      <c r="Z16" s="58"/>
      <c r="AA16" s="58"/>
      <c r="AB16" s="58"/>
    </row>
    <row r="17" spans="1:28" ht="12.75">
      <c r="A17" s="58"/>
      <c r="B17" s="306">
        <v>2009</v>
      </c>
      <c r="C17" s="304">
        <v>15366</v>
      </c>
      <c r="D17" s="305">
        <v>1.47</v>
      </c>
      <c r="E17" s="58"/>
      <c r="F17" s="58"/>
      <c r="G17" s="338" t="s">
        <v>17</v>
      </c>
      <c r="H17" s="304">
        <v>15091</v>
      </c>
      <c r="I17" s="305">
        <v>1.44</v>
      </c>
      <c r="J17" s="58"/>
      <c r="K17" s="58"/>
      <c r="L17" s="58"/>
      <c r="M17" s="58"/>
      <c r="N17" s="58"/>
      <c r="O17" s="232"/>
      <c r="P17" s="58"/>
      <c r="Q17" s="58"/>
      <c r="R17" s="58"/>
      <c r="S17" s="58"/>
      <c r="T17" s="58"/>
      <c r="U17" s="58"/>
      <c r="V17" s="58"/>
      <c r="W17" s="58"/>
      <c r="X17" s="58"/>
      <c r="Y17" s="58"/>
      <c r="Z17" s="58"/>
      <c r="AA17" s="58"/>
      <c r="AB17" s="58"/>
    </row>
    <row r="18" spans="1:28" ht="12.75">
      <c r="A18" s="58"/>
      <c r="B18" s="58"/>
      <c r="C18" s="58"/>
      <c r="D18" s="58"/>
      <c r="E18" s="58"/>
      <c r="F18" s="58"/>
      <c r="G18" s="338" t="s">
        <v>18</v>
      </c>
      <c r="H18" s="304">
        <v>14834</v>
      </c>
      <c r="I18" s="305">
        <v>1.35</v>
      </c>
      <c r="J18" s="58"/>
      <c r="K18" s="58"/>
      <c r="L18" s="58"/>
      <c r="M18" s="58"/>
      <c r="N18" s="58"/>
      <c r="O18" s="232"/>
      <c r="P18" s="58"/>
      <c r="Q18" s="58"/>
      <c r="R18" s="58"/>
      <c r="S18" s="58"/>
      <c r="T18" s="58"/>
      <c r="U18" s="58"/>
      <c r="V18" s="58"/>
      <c r="W18" s="58"/>
      <c r="X18" s="58"/>
      <c r="Y18" s="58"/>
      <c r="Z18" s="58"/>
      <c r="AA18" s="58"/>
      <c r="AB18" s="58"/>
    </row>
    <row r="19" spans="1:28" ht="12.75">
      <c r="A19" s="58"/>
      <c r="B19" s="58"/>
      <c r="C19" s="58"/>
      <c r="D19" s="58"/>
      <c r="E19" s="58"/>
      <c r="F19" s="58"/>
      <c r="G19" s="338" t="s">
        <v>19</v>
      </c>
      <c r="H19" s="304">
        <v>15338</v>
      </c>
      <c r="I19" s="305">
        <v>1.79</v>
      </c>
      <c r="J19" s="58"/>
      <c r="K19" s="58"/>
      <c r="L19" s="58"/>
      <c r="M19" s="58"/>
      <c r="N19" s="58"/>
      <c r="O19" s="232"/>
      <c r="P19" s="58"/>
      <c r="Q19" s="58"/>
      <c r="R19" s="58"/>
      <c r="S19" s="58"/>
      <c r="T19" s="58"/>
      <c r="U19" s="58"/>
      <c r="V19" s="58"/>
      <c r="W19" s="58"/>
      <c r="X19" s="58"/>
      <c r="Y19" s="58"/>
      <c r="Z19" s="58"/>
      <c r="AA19" s="58"/>
      <c r="AB19" s="58"/>
    </row>
    <row r="20" spans="1:28" ht="12.75">
      <c r="A20" s="58"/>
      <c r="B20" s="58"/>
      <c r="C20" s="58"/>
      <c r="D20" s="58"/>
      <c r="E20" s="58"/>
      <c r="F20" s="58"/>
      <c r="G20" s="338" t="s">
        <v>302</v>
      </c>
      <c r="H20" s="351">
        <v>15366</v>
      </c>
      <c r="I20" s="305">
        <v>1.49</v>
      </c>
      <c r="J20" s="58"/>
      <c r="K20" s="58"/>
      <c r="L20" s="58"/>
      <c r="M20" s="58"/>
      <c r="N20" s="58"/>
      <c r="O20" s="333"/>
      <c r="P20" s="58"/>
      <c r="Q20" s="58"/>
      <c r="R20" s="58"/>
      <c r="S20" s="58"/>
      <c r="T20" s="58"/>
      <c r="U20" s="58"/>
      <c r="V20" s="58"/>
      <c r="W20" s="58"/>
      <c r="X20" s="58"/>
      <c r="Y20" s="58"/>
      <c r="Z20" s="58"/>
      <c r="AA20" s="58"/>
      <c r="AB20" s="58"/>
    </row>
    <row r="21" spans="1:28" ht="12.75">
      <c r="A21" s="58"/>
      <c r="B21" s="58"/>
      <c r="C21" s="58"/>
      <c r="D21" s="58"/>
      <c r="E21" s="58"/>
      <c r="F21" s="58"/>
      <c r="G21" s="339" t="s">
        <v>67</v>
      </c>
      <c r="H21" s="351">
        <v>15366</v>
      </c>
      <c r="I21" s="340">
        <v>1.49</v>
      </c>
      <c r="J21" s="58"/>
      <c r="K21" s="58"/>
      <c r="L21" s="58"/>
      <c r="M21" s="58"/>
      <c r="N21" s="58"/>
      <c r="O21" s="334"/>
      <c r="P21" s="58"/>
      <c r="Q21" s="58"/>
      <c r="R21" s="58"/>
      <c r="S21" s="58"/>
      <c r="T21" s="58"/>
      <c r="U21" s="58"/>
      <c r="V21" s="58"/>
      <c r="W21" s="58"/>
      <c r="X21" s="58"/>
      <c r="Y21" s="58"/>
      <c r="Z21" s="58"/>
      <c r="AA21" s="58"/>
      <c r="AB21" s="58"/>
    </row>
    <row r="22" spans="1:28" ht="12.75">
      <c r="A22" s="58"/>
      <c r="B22" s="58"/>
      <c r="C22" s="58"/>
      <c r="D22" s="58"/>
      <c r="E22" s="58"/>
      <c r="F22" s="58"/>
      <c r="G22" s="341" t="s">
        <v>303</v>
      </c>
      <c r="H22" s="343">
        <v>15366</v>
      </c>
      <c r="I22" s="342">
        <v>1.47</v>
      </c>
      <c r="J22" s="58"/>
      <c r="K22" s="58"/>
      <c r="L22" s="58"/>
      <c r="M22" s="58"/>
      <c r="N22" s="58"/>
      <c r="O22" s="334"/>
      <c r="P22" s="58"/>
      <c r="Q22" s="58"/>
      <c r="R22" s="58"/>
      <c r="S22" s="58"/>
      <c r="T22" s="58"/>
      <c r="U22" s="58"/>
      <c r="V22" s="58"/>
      <c r="W22" s="58"/>
      <c r="X22" s="58"/>
      <c r="Y22" s="58"/>
      <c r="Z22" s="58"/>
      <c r="AA22" s="58"/>
      <c r="AB22" s="58"/>
    </row>
    <row r="23" spans="1:28" ht="12.7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row>
    <row r="24" spans="1:28" ht="12.7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1:28" ht="12.75">
      <c r="A25" s="58"/>
      <c r="B25" s="501" t="s">
        <v>304</v>
      </c>
      <c r="C25" s="501"/>
      <c r="D25" s="501"/>
      <c r="E25" s="501"/>
      <c r="F25" s="501"/>
      <c r="G25" s="501"/>
      <c r="H25" s="58"/>
      <c r="I25" s="58"/>
      <c r="J25" s="58"/>
      <c r="K25" s="58"/>
      <c r="L25" s="58"/>
      <c r="M25" s="58"/>
      <c r="N25" s="58"/>
      <c r="O25" s="58"/>
      <c r="P25" s="58"/>
      <c r="Q25" s="58"/>
      <c r="R25" s="58"/>
      <c r="S25" s="58"/>
      <c r="T25" s="58"/>
      <c r="U25" s="58"/>
      <c r="V25" s="58"/>
      <c r="W25" s="58"/>
      <c r="X25" s="58"/>
      <c r="Y25" s="58"/>
      <c r="Z25" s="58"/>
      <c r="AA25" s="58"/>
      <c r="AB25" s="58"/>
    </row>
    <row r="26" spans="1:28" ht="12.75">
      <c r="A26" s="58"/>
      <c r="B26" s="502" t="s">
        <v>286</v>
      </c>
      <c r="C26" s="502"/>
      <c r="D26" s="502"/>
      <c r="E26" s="502"/>
      <c r="F26" s="502"/>
      <c r="G26" s="502"/>
      <c r="H26" s="58"/>
      <c r="I26" s="58"/>
      <c r="J26" s="58"/>
      <c r="K26" s="58"/>
      <c r="L26" s="58"/>
      <c r="M26" s="58"/>
      <c r="N26" s="58"/>
      <c r="O26" s="58"/>
      <c r="P26" s="58"/>
      <c r="Q26" s="58"/>
      <c r="R26" s="58"/>
      <c r="S26" s="58"/>
      <c r="T26" s="58"/>
      <c r="U26" s="58"/>
      <c r="V26" s="58"/>
      <c r="W26" s="58"/>
      <c r="X26" s="58"/>
      <c r="Y26" s="58"/>
      <c r="Z26" s="58"/>
      <c r="AA26" s="58"/>
      <c r="AB26" s="58"/>
    </row>
    <row r="27" spans="1:28" ht="12.7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1:28" ht="12.7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1:28" ht="12.7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1:28" ht="12.7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1:28" ht="12.7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1:28"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2.7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1:28" ht="12.7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1:28"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1:28" ht="12.7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1:28"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1:28" ht="12.7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ht="12.7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1:28" ht="12.7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12.7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row>
    <row r="44" spans="1:28" ht="12.7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1:28" ht="12.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row>
    <row r="46" spans="1:28" ht="12.7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row>
    <row r="47" spans="1:28" ht="12.7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row>
    <row r="48" spans="1:28"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row>
    <row r="49" spans="1:28" ht="12.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row>
    <row r="50" spans="1:28" ht="12.7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1:28"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1:28"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1:28"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1:28" ht="12.7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1:28" ht="12.7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1:28" ht="12.7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1:28" ht="12.7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1:28" ht="12.7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1:28" ht="12.7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1:28" ht="12.7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1:28" ht="12.7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1:28" ht="12.7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1:28" ht="12.7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1:28" ht="12.7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1:28" ht="12.7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1:28" ht="12.7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1:28" ht="12.7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1:28" ht="12.7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1:28" ht="12.7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1:28" ht="12.7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1:28" ht="12.7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1:28" ht="12.7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1:28" ht="12.7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1:28" ht="12.7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1:28" ht="12.7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1:28" ht="12.7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1:28" ht="12.7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1:28" ht="12.7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1:28" ht="12.7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1:28" ht="12.7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1:28" ht="12.7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1:28" ht="12.7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1:28" ht="12.7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1:28" ht="12.7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1:28" ht="12.7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row>
    <row r="86" spans="1:28" ht="12.7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row>
    <row r="87" spans="1:28" ht="12.7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row>
    <row r="88" spans="1:28" ht="12.7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row>
    <row r="89" spans="1:28" ht="12.7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row>
    <row r="90" spans="1:28" ht="12.7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row>
    <row r="91" spans="1:28" ht="12.7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row>
    <row r="92" spans="1:28" ht="12.7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row>
    <row r="93" spans="1:28" ht="12.7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row>
    <row r="94" spans="1:28" ht="12.7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row>
    <row r="95" spans="1:28" ht="12.7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row>
    <row r="96" spans="1:28" ht="12.7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row>
    <row r="97" spans="1:28" ht="12.7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row>
    <row r="98" spans="1:28" ht="12.7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row>
    <row r="99" spans="1:28" ht="12.7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row>
    <row r="100" spans="1:28" ht="12.7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row>
    <row r="101" spans="1:28" ht="12.7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row>
  </sheetData>
  <sheetProtection/>
  <mergeCells count="9">
    <mergeCell ref="O6:O7"/>
    <mergeCell ref="I5:I7"/>
    <mergeCell ref="H4:I4"/>
    <mergeCell ref="B25:G25"/>
    <mergeCell ref="B26:G26"/>
    <mergeCell ref="H5:H7"/>
    <mergeCell ref="C5:C7"/>
    <mergeCell ref="D5:D7"/>
    <mergeCell ref="B6:B7"/>
  </mergeCells>
  <hyperlinks>
    <hyperlink ref="B26:G26" r:id="rId1" display="http://oee.nrcan.gc.ca/publications/statistics/cvs09/pdf/cvs09.pdf"/>
  </hyperlinks>
  <printOptions/>
  <pageMargins left="0.7" right="0.7" top="0.75" bottom="0.75" header="0.3" footer="0.3"/>
  <pageSetup orientation="portrait" paperSize="9"/>
  <legacyDrawing r:id="rId3"/>
</worksheet>
</file>

<file path=xl/worksheets/sheet3.xml><?xml version="1.0" encoding="utf-8"?>
<worksheet xmlns="http://schemas.openxmlformats.org/spreadsheetml/2006/main" xmlns:r="http://schemas.openxmlformats.org/officeDocument/2006/relationships">
  <sheetPr codeName="Sheet1">
    <tabColor rgb="FF008887"/>
  </sheetPr>
  <dimension ref="A1:AS127"/>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C10" sqref="C10"/>
    </sheetView>
  </sheetViews>
  <sheetFormatPr defaultColWidth="9.33203125" defaultRowHeight="12.75"/>
  <cols>
    <col min="1" max="1" width="4.16015625" style="0" customWidth="1"/>
    <col min="2" max="2" width="33.16015625" style="0" customWidth="1"/>
    <col min="3" max="3" width="12.83203125" style="40" customWidth="1"/>
    <col min="4" max="4" width="7.33203125" style="40" hidden="1" customWidth="1"/>
    <col min="5" max="5" width="8.33203125" style="40" customWidth="1"/>
    <col min="6" max="6" width="8.66015625" style="40" customWidth="1"/>
    <col min="7" max="7" width="11" style="40" customWidth="1"/>
    <col min="8" max="8" width="11.66015625" style="40" hidden="1" customWidth="1"/>
    <col min="9" max="9" width="8.33203125" style="40" customWidth="1"/>
    <col min="10" max="10" width="8.66015625" style="40" customWidth="1"/>
    <col min="11" max="11" width="8.33203125" style="40" customWidth="1"/>
    <col min="12" max="12" width="6.33203125" style="40" hidden="1" customWidth="1"/>
    <col min="13" max="15" width="8.33203125" style="40" customWidth="1"/>
    <col min="16" max="16" width="11.66015625" style="40" hidden="1" customWidth="1"/>
    <col min="17" max="19" width="8.33203125" style="40" customWidth="1"/>
    <col min="20" max="20" width="9.66015625" style="40" hidden="1" customWidth="1"/>
    <col min="21" max="22" width="8.33203125" style="40" customWidth="1"/>
    <col min="23" max="23" width="9.83203125" style="0" customWidth="1"/>
    <col min="24" max="24" width="10.5" style="0" customWidth="1"/>
    <col min="25" max="25" width="9.83203125" style="0" customWidth="1"/>
    <col min="26" max="26" width="33.16015625" style="0" customWidth="1"/>
    <col min="27" max="27" width="13.5" style="0" bestFit="1" customWidth="1"/>
    <col min="28" max="28" width="5.33203125" style="0" hidden="1" customWidth="1"/>
    <col min="29" max="29" width="14.83203125" style="0" bestFit="1" customWidth="1"/>
    <col min="30" max="30" width="14.5" style="30" customWidth="1"/>
    <col min="31" max="31" width="12.16015625" style="30" customWidth="1"/>
    <col min="32" max="32" width="10.66015625" style="30" customWidth="1"/>
    <col min="33" max="33" width="12.5" style="30" customWidth="1"/>
    <col min="34" max="34" width="11.83203125" style="30" customWidth="1"/>
    <col min="35" max="35" width="10" style="30" customWidth="1"/>
  </cols>
  <sheetData>
    <row r="1" spans="1:45" ht="12.75">
      <c r="A1" s="58"/>
      <c r="B1" s="58"/>
      <c r="C1" s="66"/>
      <c r="D1" s="66"/>
      <c r="E1" s="66"/>
      <c r="F1" s="66"/>
      <c r="G1" s="66"/>
      <c r="H1" s="66"/>
      <c r="I1" s="66"/>
      <c r="J1" s="66"/>
      <c r="K1" s="66"/>
      <c r="L1" s="66"/>
      <c r="M1" s="66"/>
      <c r="N1" s="66"/>
      <c r="O1" s="66"/>
      <c r="P1" s="66"/>
      <c r="Q1" s="66"/>
      <c r="R1" s="66"/>
      <c r="S1" s="66"/>
      <c r="T1" s="66"/>
      <c r="U1" s="66"/>
      <c r="V1" s="66"/>
      <c r="W1" s="58"/>
      <c r="X1" s="58"/>
      <c r="Y1" s="58"/>
      <c r="Z1" s="58"/>
      <c r="AA1" s="58"/>
      <c r="AB1" s="58"/>
      <c r="AC1" s="58"/>
      <c r="AD1" s="67"/>
      <c r="AE1" s="67"/>
      <c r="AF1" s="67"/>
      <c r="AG1" s="67"/>
      <c r="AH1" s="67"/>
      <c r="AI1" s="67"/>
      <c r="AJ1" s="58"/>
      <c r="AK1" s="58"/>
      <c r="AL1" s="58"/>
      <c r="AM1" s="58"/>
      <c r="AN1" s="58"/>
      <c r="AO1" s="58"/>
      <c r="AP1" s="58"/>
      <c r="AQ1" s="58"/>
      <c r="AR1" s="58"/>
      <c r="AS1" s="58"/>
    </row>
    <row r="2" spans="1:45" ht="12.75">
      <c r="A2" s="58"/>
      <c r="B2" s="58"/>
      <c r="C2" s="66"/>
      <c r="D2" s="66"/>
      <c r="E2" s="66"/>
      <c r="F2" s="66"/>
      <c r="G2" s="66"/>
      <c r="H2" s="66"/>
      <c r="I2" s="66"/>
      <c r="J2" s="66"/>
      <c r="K2" s="66"/>
      <c r="L2" s="66"/>
      <c r="M2" s="66"/>
      <c r="N2" s="66"/>
      <c r="O2" s="66"/>
      <c r="P2" s="66"/>
      <c r="Q2" s="66"/>
      <c r="R2" s="66"/>
      <c r="S2" s="66"/>
      <c r="T2" s="66"/>
      <c r="U2" s="66"/>
      <c r="V2" s="66"/>
      <c r="W2" s="58"/>
      <c r="X2" s="58"/>
      <c r="Y2" s="58"/>
      <c r="Z2" s="58"/>
      <c r="AA2" s="58"/>
      <c r="AB2" s="58"/>
      <c r="AC2" s="58"/>
      <c r="AD2" s="67"/>
      <c r="AE2" s="67"/>
      <c r="AF2" s="67"/>
      <c r="AG2" s="67"/>
      <c r="AH2" s="67"/>
      <c r="AI2" s="67"/>
      <c r="AJ2" s="58"/>
      <c r="AK2" s="58"/>
      <c r="AL2" s="58"/>
      <c r="AM2" s="58"/>
      <c r="AN2" s="58"/>
      <c r="AO2" s="58"/>
      <c r="AP2" s="58"/>
      <c r="AQ2" s="58"/>
      <c r="AR2" s="58"/>
      <c r="AS2" s="58"/>
    </row>
    <row r="3" spans="1:45" ht="30">
      <c r="A3" s="58"/>
      <c r="B3" s="55" t="s">
        <v>159</v>
      </c>
      <c r="C3" s="66"/>
      <c r="D3" s="66"/>
      <c r="E3" s="66"/>
      <c r="F3" s="66"/>
      <c r="G3" s="66"/>
      <c r="H3" s="66"/>
      <c r="I3" s="66"/>
      <c r="J3" s="66"/>
      <c r="K3" s="66"/>
      <c r="L3" s="66"/>
      <c r="M3" s="66"/>
      <c r="N3" s="66"/>
      <c r="O3" s="66"/>
      <c r="P3" s="66"/>
      <c r="Q3" s="66"/>
      <c r="R3" s="66"/>
      <c r="S3" s="66"/>
      <c r="T3" s="66"/>
      <c r="U3" s="66"/>
      <c r="V3" s="66"/>
      <c r="W3" s="58"/>
      <c r="X3" s="58"/>
      <c r="Y3" s="58"/>
      <c r="Z3" s="61" t="s">
        <v>146</v>
      </c>
      <c r="AA3" s="58"/>
      <c r="AB3" s="58"/>
      <c r="AC3" s="58"/>
      <c r="AD3" s="67"/>
      <c r="AE3" s="67"/>
      <c r="AF3" s="67"/>
      <c r="AG3" s="67"/>
      <c r="AH3" s="67"/>
      <c r="AI3" s="67"/>
      <c r="AJ3" s="58"/>
      <c r="AK3" s="58"/>
      <c r="AL3" s="58"/>
      <c r="AM3" s="58"/>
      <c r="AN3" s="58"/>
      <c r="AO3" s="58"/>
      <c r="AP3" s="58"/>
      <c r="AQ3" s="58"/>
      <c r="AR3" s="58"/>
      <c r="AS3" s="58"/>
    </row>
    <row r="4" spans="1:45" ht="13.5">
      <c r="A4" s="58"/>
      <c r="B4" s="68" t="s">
        <v>73</v>
      </c>
      <c r="C4" s="70"/>
      <c r="D4" s="70"/>
      <c r="E4" s="70"/>
      <c r="F4" s="66"/>
      <c r="G4" s="66"/>
      <c r="H4" s="66"/>
      <c r="I4" s="66"/>
      <c r="J4" s="66"/>
      <c r="K4" s="66"/>
      <c r="L4" s="66"/>
      <c r="M4" s="66"/>
      <c r="N4" s="66"/>
      <c r="O4" s="66"/>
      <c r="P4" s="66"/>
      <c r="Q4" s="66"/>
      <c r="R4" s="66"/>
      <c r="S4" s="66"/>
      <c r="T4" s="66"/>
      <c r="U4" s="66"/>
      <c r="V4" s="66"/>
      <c r="W4" s="58"/>
      <c r="X4" s="58"/>
      <c r="Y4" s="58"/>
      <c r="Z4" s="58"/>
      <c r="AA4" s="58"/>
      <c r="AB4" s="58"/>
      <c r="AC4" s="58"/>
      <c r="AD4" s="67"/>
      <c r="AE4" s="67"/>
      <c r="AF4" s="67"/>
      <c r="AG4" s="67"/>
      <c r="AH4" s="67"/>
      <c r="AI4" s="67"/>
      <c r="AJ4" s="58"/>
      <c r="AK4" s="58"/>
      <c r="AL4" s="58"/>
      <c r="AM4" s="58"/>
      <c r="AN4" s="58"/>
      <c r="AO4" s="58"/>
      <c r="AP4" s="58"/>
      <c r="AQ4" s="58"/>
      <c r="AR4" s="58"/>
      <c r="AS4" s="58"/>
    </row>
    <row r="5" spans="1:45" ht="12.75">
      <c r="A5" s="58"/>
      <c r="B5" s="60"/>
      <c r="C5" s="70"/>
      <c r="D5" s="70"/>
      <c r="E5" s="70"/>
      <c r="F5" s="66"/>
      <c r="G5" s="66"/>
      <c r="H5" s="66"/>
      <c r="I5" s="66"/>
      <c r="J5" s="66"/>
      <c r="K5" s="66"/>
      <c r="L5" s="66"/>
      <c r="M5" s="66"/>
      <c r="N5" s="66"/>
      <c r="O5" s="66"/>
      <c r="P5" s="66"/>
      <c r="Q5" s="66"/>
      <c r="R5" s="66"/>
      <c r="S5" s="66"/>
      <c r="T5" s="66"/>
      <c r="U5" s="66"/>
      <c r="V5" s="66"/>
      <c r="W5" s="58"/>
      <c r="X5" s="58"/>
      <c r="Y5" s="58"/>
      <c r="Z5" s="58"/>
      <c r="AA5" s="58"/>
      <c r="AB5" s="58"/>
      <c r="AC5" s="58"/>
      <c r="AD5" s="67"/>
      <c r="AE5" s="67"/>
      <c r="AF5" s="67"/>
      <c r="AG5" s="67"/>
      <c r="AH5" s="67"/>
      <c r="AI5" s="67"/>
      <c r="AJ5" s="58"/>
      <c r="AK5" s="58"/>
      <c r="AL5" s="58"/>
      <c r="AM5" s="58"/>
      <c r="AN5" s="58"/>
      <c r="AO5" s="58"/>
      <c r="AP5" s="58"/>
      <c r="AQ5" s="58"/>
      <c r="AR5" s="58"/>
      <c r="AS5" s="58"/>
    </row>
    <row r="6" spans="1:45" ht="12.75" customHeight="1">
      <c r="A6" s="58"/>
      <c r="B6" s="69" t="s">
        <v>72</v>
      </c>
      <c r="C6" s="398" t="s">
        <v>153</v>
      </c>
      <c r="D6" s="398"/>
      <c r="E6" s="398"/>
      <c r="F6" s="398"/>
      <c r="G6" s="398"/>
      <c r="H6" s="398"/>
      <c r="I6" s="398"/>
      <c r="J6" s="398"/>
      <c r="K6" s="398"/>
      <c r="L6" s="180"/>
      <c r="M6" s="66"/>
      <c r="N6" s="66"/>
      <c r="O6" s="66"/>
      <c r="P6" s="66"/>
      <c r="Q6" s="66"/>
      <c r="R6" s="66"/>
      <c r="S6" s="66"/>
      <c r="T6" s="66"/>
      <c r="U6" s="66"/>
      <c r="V6" s="66"/>
      <c r="W6" s="58"/>
      <c r="X6" s="58"/>
      <c r="Y6" s="58"/>
      <c r="Z6" s="58"/>
      <c r="AA6" s="58"/>
      <c r="AB6" s="58"/>
      <c r="AC6" s="58"/>
      <c r="AD6" s="67"/>
      <c r="AE6" s="67"/>
      <c r="AF6" s="67"/>
      <c r="AG6" s="67"/>
      <c r="AH6" s="67"/>
      <c r="AI6" s="67"/>
      <c r="AJ6" s="58"/>
      <c r="AK6" s="58"/>
      <c r="AL6" s="58"/>
      <c r="AM6" s="58"/>
      <c r="AN6" s="58"/>
      <c r="AO6" s="58"/>
      <c r="AP6" s="58"/>
      <c r="AQ6" s="58"/>
      <c r="AR6" s="58"/>
      <c r="AS6" s="58"/>
    </row>
    <row r="7" spans="1:45" ht="12.75" customHeight="1" thickBot="1">
      <c r="A7" s="58"/>
      <c r="B7" s="60"/>
      <c r="C7" s="70"/>
      <c r="D7" s="70"/>
      <c r="E7" s="70"/>
      <c r="F7" s="66"/>
      <c r="G7" s="66"/>
      <c r="H7" s="66"/>
      <c r="I7" s="66"/>
      <c r="J7" s="66"/>
      <c r="K7" s="66"/>
      <c r="L7" s="66"/>
      <c r="M7" s="66"/>
      <c r="N7" s="66"/>
      <c r="O7" s="66"/>
      <c r="P7" s="66"/>
      <c r="Q7" s="66"/>
      <c r="R7" s="66"/>
      <c r="S7" s="66"/>
      <c r="T7" s="66"/>
      <c r="U7" s="66"/>
      <c r="V7" s="66"/>
      <c r="W7" s="58"/>
      <c r="X7" s="58"/>
      <c r="Y7" s="58"/>
      <c r="Z7" s="58"/>
      <c r="AA7" s="58"/>
      <c r="AB7" s="58"/>
      <c r="AC7" s="58"/>
      <c r="AD7" s="67"/>
      <c r="AE7" s="67"/>
      <c r="AF7" s="67"/>
      <c r="AG7" s="67"/>
      <c r="AH7" s="67"/>
      <c r="AI7" s="67"/>
      <c r="AJ7" s="58"/>
      <c r="AK7" s="58"/>
      <c r="AL7" s="58"/>
      <c r="AM7" s="58"/>
      <c r="AN7" s="58"/>
      <c r="AO7" s="58"/>
      <c r="AP7" s="58"/>
      <c r="AQ7" s="58"/>
      <c r="AR7" s="58"/>
      <c r="AS7" s="58"/>
    </row>
    <row r="8" spans="1:45" s="14" customFormat="1" ht="13.5">
      <c r="A8" s="63"/>
      <c r="B8" s="12"/>
      <c r="C8" s="395" t="s">
        <v>120</v>
      </c>
      <c r="D8" s="396"/>
      <c r="E8" s="396"/>
      <c r="F8" s="397"/>
      <c r="G8" s="395" t="s">
        <v>194</v>
      </c>
      <c r="H8" s="396"/>
      <c r="I8" s="396"/>
      <c r="J8" s="397"/>
      <c r="K8" s="392" t="s">
        <v>121</v>
      </c>
      <c r="L8" s="393"/>
      <c r="M8" s="393"/>
      <c r="N8" s="394"/>
      <c r="O8" s="395" t="s">
        <v>122</v>
      </c>
      <c r="P8" s="396"/>
      <c r="Q8" s="396"/>
      <c r="R8" s="397"/>
      <c r="S8" s="392" t="s">
        <v>123</v>
      </c>
      <c r="T8" s="393"/>
      <c r="U8" s="393"/>
      <c r="V8" s="394"/>
      <c r="W8" s="13" t="s">
        <v>69</v>
      </c>
      <c r="X8" s="13"/>
      <c r="Y8" s="13"/>
      <c r="Z8" s="13"/>
      <c r="AA8" s="13" t="s">
        <v>62</v>
      </c>
      <c r="AB8" s="13"/>
      <c r="AC8" s="13"/>
      <c r="AD8" s="31"/>
      <c r="AE8" s="31"/>
      <c r="AF8" s="31"/>
      <c r="AG8" s="31"/>
      <c r="AH8" s="31"/>
      <c r="AI8" s="32"/>
      <c r="AJ8" s="63"/>
      <c r="AK8" s="63"/>
      <c r="AL8" s="63"/>
      <c r="AM8" s="63"/>
      <c r="AN8" s="63"/>
      <c r="AO8" s="63"/>
      <c r="AP8" s="63"/>
      <c r="AQ8" s="63"/>
      <c r="AR8" s="63"/>
      <c r="AS8" s="63"/>
    </row>
    <row r="9" spans="1:45" s="18" customFormat="1" ht="54">
      <c r="A9" s="64"/>
      <c r="B9" s="15" t="s">
        <v>125</v>
      </c>
      <c r="C9" s="42" t="s">
        <v>57</v>
      </c>
      <c r="D9" s="42" t="s">
        <v>230</v>
      </c>
      <c r="E9" s="42" t="s">
        <v>124</v>
      </c>
      <c r="F9" s="42" t="s">
        <v>195</v>
      </c>
      <c r="G9" s="42" t="s">
        <v>57</v>
      </c>
      <c r="H9" s="42" t="s">
        <v>230</v>
      </c>
      <c r="I9" s="42" t="s">
        <v>124</v>
      </c>
      <c r="J9" s="42" t="s">
        <v>195</v>
      </c>
      <c r="K9" s="42" t="s">
        <v>57</v>
      </c>
      <c r="L9" s="42" t="s">
        <v>230</v>
      </c>
      <c r="M9" s="42" t="s">
        <v>124</v>
      </c>
      <c r="N9" s="42" t="s">
        <v>220</v>
      </c>
      <c r="O9" s="42" t="s">
        <v>57</v>
      </c>
      <c r="P9" s="42" t="s">
        <v>230</v>
      </c>
      <c r="Q9" s="42" t="s">
        <v>124</v>
      </c>
      <c r="R9" s="42" t="s">
        <v>195</v>
      </c>
      <c r="S9" s="42" t="s">
        <v>57</v>
      </c>
      <c r="T9" s="42" t="s">
        <v>230</v>
      </c>
      <c r="U9" s="42" t="s">
        <v>124</v>
      </c>
      <c r="V9" s="42" t="s">
        <v>195</v>
      </c>
      <c r="W9" s="17" t="s">
        <v>126</v>
      </c>
      <c r="X9" s="17" t="s">
        <v>127</v>
      </c>
      <c r="Y9" s="17" t="s">
        <v>130</v>
      </c>
      <c r="Z9" s="15" t="s">
        <v>125</v>
      </c>
      <c r="AA9" s="16" t="s">
        <v>124</v>
      </c>
      <c r="AB9" s="42" t="s">
        <v>230</v>
      </c>
      <c r="AC9" s="42" t="s">
        <v>195</v>
      </c>
      <c r="AD9" s="33" t="s">
        <v>128</v>
      </c>
      <c r="AE9" s="33" t="s">
        <v>129</v>
      </c>
      <c r="AF9" s="34" t="s">
        <v>131</v>
      </c>
      <c r="AG9" s="33" t="s">
        <v>196</v>
      </c>
      <c r="AH9" s="33" t="s">
        <v>197</v>
      </c>
      <c r="AI9" s="35" t="s">
        <v>198</v>
      </c>
      <c r="AJ9" s="64"/>
      <c r="AK9" s="64"/>
      <c r="AL9" s="64"/>
      <c r="AM9" s="64"/>
      <c r="AN9" s="64"/>
      <c r="AO9" s="64"/>
      <c r="AP9" s="64"/>
      <c r="AQ9" s="64"/>
      <c r="AR9" s="64"/>
      <c r="AS9" s="64"/>
    </row>
    <row r="10" spans="1:45" s="27" customFormat="1" ht="11.25">
      <c r="A10" s="65"/>
      <c r="B10" s="28"/>
      <c r="C10" s="24"/>
      <c r="D10" s="52" t="e">
        <f>C10*(HLOOKUP("Electricity",'Energy Conv Factors'!$A$6:$M$17,'General Info'!$E$7,FALSE))/1000</f>
        <v>#VALUE!</v>
      </c>
      <c r="E10" s="51"/>
      <c r="F10" s="52" t="e">
        <f>C10*(HLOOKUP('General Info'!$C$6,'Electricity factors'!$B$3:$N$26,'General Info'!$D$7,TRUE))/1000</f>
        <v>#N/A</v>
      </c>
      <c r="G10" s="24"/>
      <c r="H10" s="52" t="e">
        <f>G10*(HLOOKUP("Natural gas",'Energy Conv Factors'!$A$6:$M$17,'General Info'!$E$7,FALSE))/1000</f>
        <v>#VALUE!</v>
      </c>
      <c r="I10" s="51"/>
      <c r="J10" s="52" t="e">
        <f>G10*(HLOOKUP('General Info'!$C$6,'Natural gas'!B$1:N$2,2,FALSE))</f>
        <v>#N/A</v>
      </c>
      <c r="K10" s="24"/>
      <c r="L10" s="52">
        <f>K10</f>
        <v>0</v>
      </c>
      <c r="M10" s="51"/>
      <c r="N10" s="52">
        <f aca="true" t="shared" si="0" ref="N10:N53">(K10*deco2)</f>
        <v>0</v>
      </c>
      <c r="O10" s="24"/>
      <c r="P10" s="52" t="e">
        <f>O10*(HLOOKUP("Fuel Oil",'Energy Conv Factors'!$A$6:$M$17,'General Info'!$E$7,FALSE))/1000</f>
        <v>#VALUE!</v>
      </c>
      <c r="Q10" s="51"/>
      <c r="R10" s="52">
        <f aca="true" t="shared" si="1" ref="R10:R53">(O10*fueloilco2)</f>
        <v>0</v>
      </c>
      <c r="S10" s="24"/>
      <c r="T10" s="52" t="e">
        <f>S10*(HLOOKUP("Diesel",'Energy Conv Factors'!$A$6:$M$17,'General Info'!$E$7,FALSE))/1000</f>
        <v>#VALUE!</v>
      </c>
      <c r="U10" s="51"/>
      <c r="V10" s="370">
        <f aca="true" t="shared" si="2" ref="V10:V53">(S10*stationarydieselco2)</f>
        <v>0</v>
      </c>
      <c r="W10" s="53"/>
      <c r="X10" s="53"/>
      <c r="Y10" s="53"/>
      <c r="Z10" s="23">
        <f>B10</f>
        <v>0</v>
      </c>
      <c r="AA10" s="51">
        <f aca="true" t="shared" si="3" ref="AA10:AA53">U10+Q10+M10+I10+E10</f>
        <v>0</v>
      </c>
      <c r="AB10" s="52" t="e">
        <f aca="true" t="shared" si="4" ref="AB10:AB53">D10+H10+L10+P10+T10</f>
        <v>#VALUE!</v>
      </c>
      <c r="AC10" s="52" t="e">
        <f aca="true" t="shared" si="5" ref="AC10:AC53">V10+R10+N10+J10+F10</f>
        <v>#N/A</v>
      </c>
      <c r="AD10" s="36" t="e">
        <f aca="true" t="shared" si="6" ref="AD10:AD18">AA10/W10</f>
        <v>#DIV/0!</v>
      </c>
      <c r="AE10" s="36" t="e">
        <f aca="true" t="shared" si="7" ref="AE10:AE18">AA10/X10</f>
        <v>#DIV/0!</v>
      </c>
      <c r="AF10" s="36" t="e">
        <f aca="true" t="shared" si="8" ref="AF10:AF18">AA10/(Y10*1000)</f>
        <v>#DIV/0!</v>
      </c>
      <c r="AG10" s="36" t="e">
        <f aca="true" t="shared" si="9" ref="AG10:AG18">AC10/W10</f>
        <v>#N/A</v>
      </c>
      <c r="AH10" s="36" t="e">
        <f aca="true" t="shared" si="10" ref="AH10:AH18">AC10/X10</f>
        <v>#N/A</v>
      </c>
      <c r="AI10" s="37" t="e">
        <f aca="true" t="shared" si="11" ref="AI10:AI18">AC10/(Y10*1000)</f>
        <v>#N/A</v>
      </c>
      <c r="AJ10" s="65"/>
      <c r="AK10" s="65"/>
      <c r="AL10" s="65"/>
      <c r="AM10" s="65"/>
      <c r="AN10" s="65"/>
      <c r="AO10" s="65"/>
      <c r="AP10" s="65"/>
      <c r="AQ10" s="65"/>
      <c r="AR10" s="65"/>
      <c r="AS10" s="65"/>
    </row>
    <row r="11" spans="1:45" s="27" customFormat="1" ht="11.25">
      <c r="A11" s="65"/>
      <c r="B11" s="28"/>
      <c r="C11" s="24"/>
      <c r="D11" s="52" t="e">
        <f>C11*(HLOOKUP("Electricity",'Energy Conv Factors'!$A$6:$M$17,'General Info'!$E$7,FALSE))/1000</f>
        <v>#VALUE!</v>
      </c>
      <c r="E11" s="51"/>
      <c r="F11" s="52" t="e">
        <f>C11*(HLOOKUP('General Info'!$C$6,'Electricity factors'!$B$3:$N$26,'General Info'!$D$7,TRUE))/1000</f>
        <v>#N/A</v>
      </c>
      <c r="G11" s="24"/>
      <c r="H11" s="52" t="e">
        <f>G11*(HLOOKUP("Natural gas",'Energy Conv Factors'!$A$6:$M$17,'General Info'!$E$7,FALSE))/1000</f>
        <v>#VALUE!</v>
      </c>
      <c r="I11" s="51"/>
      <c r="J11" s="52" t="e">
        <f>G11*(HLOOKUP('General Info'!$C$6,'Natural gas'!B$1:N$2,2,FALSE))</f>
        <v>#N/A</v>
      </c>
      <c r="K11" s="24"/>
      <c r="L11" s="52">
        <f aca="true" t="shared" si="12" ref="L11:L53">K11</f>
        <v>0</v>
      </c>
      <c r="M11" s="51"/>
      <c r="N11" s="52">
        <f t="shared" si="0"/>
        <v>0</v>
      </c>
      <c r="O11" s="24"/>
      <c r="P11" s="52" t="e">
        <f>O11*(HLOOKUP("Fuel Oil",'Energy Conv Factors'!$A$6:$M$17,'General Info'!$E$7,FALSE))/1000</f>
        <v>#VALUE!</v>
      </c>
      <c r="Q11" s="51"/>
      <c r="R11" s="52">
        <f t="shared" si="1"/>
        <v>0</v>
      </c>
      <c r="S11" s="24"/>
      <c r="T11" s="52" t="e">
        <f>S11*(HLOOKUP("Diesel",'Energy Conv Factors'!$A$6:$M$17,'General Info'!$E$7,FALSE))/1000</f>
        <v>#VALUE!</v>
      </c>
      <c r="U11" s="51"/>
      <c r="V11" s="52">
        <f t="shared" si="2"/>
        <v>0</v>
      </c>
      <c r="W11" s="53"/>
      <c r="X11" s="53"/>
      <c r="Y11" s="53"/>
      <c r="Z11" s="23">
        <f aca="true" t="shared" si="13" ref="Z11:Z53">B11</f>
        <v>0</v>
      </c>
      <c r="AA11" s="51">
        <f t="shared" si="3"/>
        <v>0</v>
      </c>
      <c r="AB11" s="52" t="e">
        <f t="shared" si="4"/>
        <v>#VALUE!</v>
      </c>
      <c r="AC11" s="52" t="e">
        <f t="shared" si="5"/>
        <v>#N/A</v>
      </c>
      <c r="AD11" s="36" t="e">
        <f t="shared" si="6"/>
        <v>#DIV/0!</v>
      </c>
      <c r="AE11" s="36" t="e">
        <f t="shared" si="7"/>
        <v>#DIV/0!</v>
      </c>
      <c r="AF11" s="36" t="e">
        <f t="shared" si="8"/>
        <v>#DIV/0!</v>
      </c>
      <c r="AG11" s="36" t="e">
        <f t="shared" si="9"/>
        <v>#N/A</v>
      </c>
      <c r="AH11" s="36" t="e">
        <f t="shared" si="10"/>
        <v>#N/A</v>
      </c>
      <c r="AI11" s="37" t="e">
        <f t="shared" si="11"/>
        <v>#N/A</v>
      </c>
      <c r="AJ11" s="65"/>
      <c r="AK11" s="65"/>
      <c r="AL11" s="65"/>
      <c r="AM11" s="65"/>
      <c r="AN11" s="65"/>
      <c r="AO11" s="65"/>
      <c r="AP11" s="65"/>
      <c r="AQ11" s="65"/>
      <c r="AR11" s="65"/>
      <c r="AS11" s="65"/>
    </row>
    <row r="12" spans="1:45" s="27" customFormat="1" ht="11.25">
      <c r="A12" s="65"/>
      <c r="B12" s="28"/>
      <c r="C12" s="24"/>
      <c r="D12" s="52" t="e">
        <f>C12*(HLOOKUP("Electricity",'Energy Conv Factors'!$A$6:$M$17,'General Info'!$E$7,FALSE))/1000</f>
        <v>#VALUE!</v>
      </c>
      <c r="E12" s="51"/>
      <c r="F12" s="52" t="e">
        <f>C12*(HLOOKUP('General Info'!$C$6,'Electricity factors'!$B$3:$N$26,'General Info'!$D$7,TRUE))/1000</f>
        <v>#N/A</v>
      </c>
      <c r="G12" s="24"/>
      <c r="H12" s="52" t="e">
        <f>G12*(HLOOKUP("Natural gas",'Energy Conv Factors'!$A$6:$M$17,'General Info'!$E$7,FALSE))/1000</f>
        <v>#VALUE!</v>
      </c>
      <c r="I12" s="51"/>
      <c r="J12" s="52" t="e">
        <f>G12*(HLOOKUP('General Info'!$C$6,'Natural gas'!B$1:N$2,2,FALSE))</f>
        <v>#N/A</v>
      </c>
      <c r="K12" s="24"/>
      <c r="L12" s="52">
        <f t="shared" si="12"/>
        <v>0</v>
      </c>
      <c r="M12" s="51"/>
      <c r="N12" s="52">
        <f t="shared" si="0"/>
        <v>0</v>
      </c>
      <c r="O12" s="24"/>
      <c r="P12" s="52" t="e">
        <f>O12*(HLOOKUP("Fuel Oil",'Energy Conv Factors'!$A$6:$M$17,'General Info'!$E$7,FALSE))/1000</f>
        <v>#VALUE!</v>
      </c>
      <c r="Q12" s="51"/>
      <c r="R12" s="52">
        <f t="shared" si="1"/>
        <v>0</v>
      </c>
      <c r="S12" s="24"/>
      <c r="T12" s="52" t="e">
        <f>S12*(HLOOKUP("Diesel",'Energy Conv Factors'!$A$6:$M$17,'General Info'!$E$7,FALSE))/1000</f>
        <v>#VALUE!</v>
      </c>
      <c r="U12" s="51"/>
      <c r="V12" s="52">
        <f t="shared" si="2"/>
        <v>0</v>
      </c>
      <c r="W12" s="53"/>
      <c r="X12" s="53"/>
      <c r="Y12" s="53"/>
      <c r="Z12" s="23">
        <f t="shared" si="13"/>
        <v>0</v>
      </c>
      <c r="AA12" s="51">
        <f t="shared" si="3"/>
        <v>0</v>
      </c>
      <c r="AB12" s="52" t="e">
        <f t="shared" si="4"/>
        <v>#VALUE!</v>
      </c>
      <c r="AC12" s="52" t="e">
        <f t="shared" si="5"/>
        <v>#N/A</v>
      </c>
      <c r="AD12" s="36" t="e">
        <f t="shared" si="6"/>
        <v>#DIV/0!</v>
      </c>
      <c r="AE12" s="36" t="e">
        <f t="shared" si="7"/>
        <v>#DIV/0!</v>
      </c>
      <c r="AF12" s="36" t="e">
        <f t="shared" si="8"/>
        <v>#DIV/0!</v>
      </c>
      <c r="AG12" s="36" t="e">
        <f t="shared" si="9"/>
        <v>#N/A</v>
      </c>
      <c r="AH12" s="36" t="e">
        <f t="shared" si="10"/>
        <v>#N/A</v>
      </c>
      <c r="AI12" s="37" t="e">
        <f t="shared" si="11"/>
        <v>#N/A</v>
      </c>
      <c r="AJ12" s="65"/>
      <c r="AK12" s="65"/>
      <c r="AL12" s="65"/>
      <c r="AM12" s="65"/>
      <c r="AN12" s="65"/>
      <c r="AO12" s="65"/>
      <c r="AP12" s="65"/>
      <c r="AQ12" s="65"/>
      <c r="AR12" s="65"/>
      <c r="AS12" s="65"/>
    </row>
    <row r="13" spans="1:45" s="27" customFormat="1" ht="11.25">
      <c r="A13" s="65"/>
      <c r="B13" s="28"/>
      <c r="C13" s="24"/>
      <c r="D13" s="52" t="e">
        <f>C13*(HLOOKUP("Electricity",'Energy Conv Factors'!$A$6:$M$17,'General Info'!$E$7,FALSE))/1000</f>
        <v>#VALUE!</v>
      </c>
      <c r="E13" s="51"/>
      <c r="F13" s="52" t="e">
        <f>C13*(HLOOKUP('General Info'!$C$6,'Electricity factors'!$B$3:$N$26,'General Info'!$D$7,TRUE))/1000</f>
        <v>#N/A</v>
      </c>
      <c r="G13" s="24"/>
      <c r="H13" s="52" t="e">
        <f>G13*(HLOOKUP("Natural gas",'Energy Conv Factors'!$A$6:$M$17,'General Info'!$E$7,FALSE))/1000</f>
        <v>#VALUE!</v>
      </c>
      <c r="I13" s="51"/>
      <c r="J13" s="52" t="e">
        <f>G13*(HLOOKUP('General Info'!$C$6,'Natural gas'!B$1:N$2,2,FALSE))</f>
        <v>#N/A</v>
      </c>
      <c r="K13" s="24"/>
      <c r="L13" s="52">
        <f t="shared" si="12"/>
        <v>0</v>
      </c>
      <c r="M13" s="51"/>
      <c r="N13" s="52">
        <f t="shared" si="0"/>
        <v>0</v>
      </c>
      <c r="O13" s="24"/>
      <c r="P13" s="52" t="e">
        <f>O13*(HLOOKUP("Fuel Oil",'Energy Conv Factors'!$A$6:$M$17,'General Info'!$E$7,FALSE))/1000</f>
        <v>#VALUE!</v>
      </c>
      <c r="Q13" s="51"/>
      <c r="R13" s="52">
        <f t="shared" si="1"/>
        <v>0</v>
      </c>
      <c r="S13" s="24"/>
      <c r="T13" s="52" t="e">
        <f>S13*(HLOOKUP("Diesel",'Energy Conv Factors'!$A$6:$M$17,'General Info'!$E$7,FALSE))/1000</f>
        <v>#VALUE!</v>
      </c>
      <c r="U13" s="51"/>
      <c r="V13" s="52">
        <f t="shared" si="2"/>
        <v>0</v>
      </c>
      <c r="W13" s="53"/>
      <c r="X13" s="53"/>
      <c r="Y13" s="53"/>
      <c r="Z13" s="23">
        <f t="shared" si="13"/>
        <v>0</v>
      </c>
      <c r="AA13" s="51">
        <f t="shared" si="3"/>
        <v>0</v>
      </c>
      <c r="AB13" s="52" t="e">
        <f t="shared" si="4"/>
        <v>#VALUE!</v>
      </c>
      <c r="AC13" s="52" t="e">
        <f t="shared" si="5"/>
        <v>#N/A</v>
      </c>
      <c r="AD13" s="36" t="e">
        <f t="shared" si="6"/>
        <v>#DIV/0!</v>
      </c>
      <c r="AE13" s="36" t="e">
        <f t="shared" si="7"/>
        <v>#DIV/0!</v>
      </c>
      <c r="AF13" s="36" t="e">
        <f t="shared" si="8"/>
        <v>#DIV/0!</v>
      </c>
      <c r="AG13" s="36" t="e">
        <f t="shared" si="9"/>
        <v>#N/A</v>
      </c>
      <c r="AH13" s="36" t="e">
        <f t="shared" si="10"/>
        <v>#N/A</v>
      </c>
      <c r="AI13" s="37" t="e">
        <f t="shared" si="11"/>
        <v>#N/A</v>
      </c>
      <c r="AJ13" s="65"/>
      <c r="AK13" s="65"/>
      <c r="AL13" s="65"/>
      <c r="AM13" s="65"/>
      <c r="AN13" s="65"/>
      <c r="AO13" s="65"/>
      <c r="AP13" s="65"/>
      <c r="AQ13" s="65"/>
      <c r="AR13" s="65"/>
      <c r="AS13" s="65"/>
    </row>
    <row r="14" spans="1:45" s="27" customFormat="1" ht="11.25">
      <c r="A14" s="65"/>
      <c r="B14" s="28"/>
      <c r="C14" s="24"/>
      <c r="D14" s="52" t="e">
        <f>C14*(HLOOKUP("Electricity",'Energy Conv Factors'!$A$6:$M$17,'General Info'!$E$7,FALSE))/1000</f>
        <v>#VALUE!</v>
      </c>
      <c r="E14" s="51"/>
      <c r="F14" s="52" t="e">
        <f>C14*(HLOOKUP('General Info'!$C$6,'Electricity factors'!$B$3:$N$26,'General Info'!$D$7,TRUE))/1000</f>
        <v>#N/A</v>
      </c>
      <c r="G14" s="24"/>
      <c r="H14" s="52" t="e">
        <f>G14*(HLOOKUP("Natural gas",'Energy Conv Factors'!$A$6:$M$17,'General Info'!$E$7,FALSE))/1000</f>
        <v>#VALUE!</v>
      </c>
      <c r="I14" s="51"/>
      <c r="J14" s="52" t="e">
        <f>G14*(HLOOKUP('General Info'!$C$6,'Natural gas'!B$1:N$2,2,FALSE))</f>
        <v>#N/A</v>
      </c>
      <c r="K14" s="24"/>
      <c r="L14" s="52">
        <f t="shared" si="12"/>
        <v>0</v>
      </c>
      <c r="M14" s="51"/>
      <c r="N14" s="52">
        <f t="shared" si="0"/>
        <v>0</v>
      </c>
      <c r="O14" s="24"/>
      <c r="P14" s="52" t="e">
        <f>O14*(HLOOKUP("Fuel Oil",'Energy Conv Factors'!$A$6:$M$17,'General Info'!$E$7,FALSE))/1000</f>
        <v>#VALUE!</v>
      </c>
      <c r="Q14" s="51"/>
      <c r="R14" s="52">
        <f t="shared" si="1"/>
        <v>0</v>
      </c>
      <c r="S14" s="24"/>
      <c r="T14" s="52" t="e">
        <f>S14*(HLOOKUP("Diesel",'Energy Conv Factors'!$A$6:$M$17,'General Info'!$E$7,FALSE))/1000</f>
        <v>#VALUE!</v>
      </c>
      <c r="U14" s="51"/>
      <c r="V14" s="52">
        <f t="shared" si="2"/>
        <v>0</v>
      </c>
      <c r="W14" s="53"/>
      <c r="X14" s="53"/>
      <c r="Y14" s="53"/>
      <c r="Z14" s="23">
        <f t="shared" si="13"/>
        <v>0</v>
      </c>
      <c r="AA14" s="51">
        <f t="shared" si="3"/>
        <v>0</v>
      </c>
      <c r="AB14" s="52" t="e">
        <f t="shared" si="4"/>
        <v>#VALUE!</v>
      </c>
      <c r="AC14" s="52" t="e">
        <f t="shared" si="5"/>
        <v>#N/A</v>
      </c>
      <c r="AD14" s="36" t="e">
        <f t="shared" si="6"/>
        <v>#DIV/0!</v>
      </c>
      <c r="AE14" s="36" t="e">
        <f t="shared" si="7"/>
        <v>#DIV/0!</v>
      </c>
      <c r="AF14" s="36" t="e">
        <f t="shared" si="8"/>
        <v>#DIV/0!</v>
      </c>
      <c r="AG14" s="36" t="e">
        <f t="shared" si="9"/>
        <v>#N/A</v>
      </c>
      <c r="AH14" s="36" t="e">
        <f t="shared" si="10"/>
        <v>#N/A</v>
      </c>
      <c r="AI14" s="37" t="e">
        <f t="shared" si="11"/>
        <v>#N/A</v>
      </c>
      <c r="AJ14" s="65"/>
      <c r="AK14" s="65"/>
      <c r="AL14" s="65"/>
      <c r="AM14" s="65"/>
      <c r="AN14" s="65"/>
      <c r="AO14" s="65"/>
      <c r="AP14" s="65"/>
      <c r="AQ14" s="65"/>
      <c r="AR14" s="65"/>
      <c r="AS14" s="65"/>
    </row>
    <row r="15" spans="1:45" s="27" customFormat="1" ht="11.25">
      <c r="A15" s="65"/>
      <c r="B15" s="28"/>
      <c r="C15" s="24"/>
      <c r="D15" s="52" t="e">
        <f>C15*(HLOOKUP("Electricity",'Energy Conv Factors'!$A$6:$M$17,'General Info'!$E$7,FALSE))/1000</f>
        <v>#VALUE!</v>
      </c>
      <c r="E15" s="51"/>
      <c r="F15" s="52" t="e">
        <f>C15*(HLOOKUP('General Info'!$C$6,'Electricity factors'!$B$3:$N$26,'General Info'!$D$7,TRUE))/1000</f>
        <v>#N/A</v>
      </c>
      <c r="G15" s="24"/>
      <c r="H15" s="52" t="e">
        <f>G15*(HLOOKUP("Natural gas",'Energy Conv Factors'!$A$6:$M$17,'General Info'!$E$7,FALSE))/1000</f>
        <v>#VALUE!</v>
      </c>
      <c r="I15" s="51"/>
      <c r="J15" s="52" t="e">
        <f>G15*(HLOOKUP('General Info'!$C$6,'Natural gas'!B$1:N$2,2,FALSE))</f>
        <v>#N/A</v>
      </c>
      <c r="K15" s="24"/>
      <c r="L15" s="52">
        <f t="shared" si="12"/>
        <v>0</v>
      </c>
      <c r="M15" s="51"/>
      <c r="N15" s="52">
        <f t="shared" si="0"/>
        <v>0</v>
      </c>
      <c r="O15" s="24"/>
      <c r="P15" s="52" t="e">
        <f>O15*(HLOOKUP("Fuel Oil",'Energy Conv Factors'!$A$6:$M$17,'General Info'!$E$7,FALSE))/1000</f>
        <v>#VALUE!</v>
      </c>
      <c r="Q15" s="51"/>
      <c r="R15" s="52">
        <f t="shared" si="1"/>
        <v>0</v>
      </c>
      <c r="S15" s="24"/>
      <c r="T15" s="52" t="e">
        <f>S15*(HLOOKUP("Diesel",'Energy Conv Factors'!$A$6:$M$17,'General Info'!$E$7,FALSE))/1000</f>
        <v>#VALUE!</v>
      </c>
      <c r="U15" s="51"/>
      <c r="V15" s="52">
        <f t="shared" si="2"/>
        <v>0</v>
      </c>
      <c r="W15" s="53"/>
      <c r="X15" s="53"/>
      <c r="Y15" s="53"/>
      <c r="Z15" s="23">
        <f t="shared" si="13"/>
        <v>0</v>
      </c>
      <c r="AA15" s="51">
        <f t="shared" si="3"/>
        <v>0</v>
      </c>
      <c r="AB15" s="52" t="e">
        <f t="shared" si="4"/>
        <v>#VALUE!</v>
      </c>
      <c r="AC15" s="52" t="e">
        <f t="shared" si="5"/>
        <v>#N/A</v>
      </c>
      <c r="AD15" s="36" t="e">
        <f t="shared" si="6"/>
        <v>#DIV/0!</v>
      </c>
      <c r="AE15" s="36" t="e">
        <f t="shared" si="7"/>
        <v>#DIV/0!</v>
      </c>
      <c r="AF15" s="36" t="e">
        <f t="shared" si="8"/>
        <v>#DIV/0!</v>
      </c>
      <c r="AG15" s="36" t="e">
        <f t="shared" si="9"/>
        <v>#N/A</v>
      </c>
      <c r="AH15" s="36" t="e">
        <f t="shared" si="10"/>
        <v>#N/A</v>
      </c>
      <c r="AI15" s="37" t="e">
        <f t="shared" si="11"/>
        <v>#N/A</v>
      </c>
      <c r="AJ15" s="65"/>
      <c r="AK15" s="65"/>
      <c r="AL15" s="65"/>
      <c r="AM15" s="65"/>
      <c r="AN15" s="65"/>
      <c r="AO15" s="65"/>
      <c r="AP15" s="65"/>
      <c r="AQ15" s="65"/>
      <c r="AR15" s="65"/>
      <c r="AS15" s="65"/>
    </row>
    <row r="16" spans="1:45" s="27" customFormat="1" ht="11.25">
      <c r="A16" s="65"/>
      <c r="B16" s="28"/>
      <c r="C16" s="24"/>
      <c r="D16" s="52" t="e">
        <f>C16*(HLOOKUP("Electricity",'Energy Conv Factors'!$A$6:$M$17,'General Info'!$E$7,FALSE))/1000</f>
        <v>#VALUE!</v>
      </c>
      <c r="E16" s="51"/>
      <c r="F16" s="52" t="e">
        <f>C16*(HLOOKUP('General Info'!$C$6,'Electricity factors'!$B$3:$N$26,'General Info'!$D$7,TRUE))/1000</f>
        <v>#N/A</v>
      </c>
      <c r="G16" s="24"/>
      <c r="H16" s="52" t="e">
        <f>G16*(HLOOKUP("Natural gas",'Energy Conv Factors'!$A$6:$M$17,'General Info'!$E$7,FALSE))/1000</f>
        <v>#VALUE!</v>
      </c>
      <c r="I16" s="51"/>
      <c r="J16" s="52" t="e">
        <f>G16*(HLOOKUP('General Info'!$C$6,'Natural gas'!B$1:N$2,2,FALSE))</f>
        <v>#N/A</v>
      </c>
      <c r="K16" s="24"/>
      <c r="L16" s="52">
        <f t="shared" si="12"/>
        <v>0</v>
      </c>
      <c r="M16" s="51"/>
      <c r="N16" s="52">
        <f t="shared" si="0"/>
        <v>0</v>
      </c>
      <c r="O16" s="24"/>
      <c r="P16" s="52" t="e">
        <f>O16*(HLOOKUP("Fuel Oil",'Energy Conv Factors'!$A$6:$M$17,'General Info'!$E$7,FALSE))/1000</f>
        <v>#VALUE!</v>
      </c>
      <c r="Q16" s="51"/>
      <c r="R16" s="52">
        <f t="shared" si="1"/>
        <v>0</v>
      </c>
      <c r="S16" s="24"/>
      <c r="T16" s="52" t="e">
        <f>S16*(HLOOKUP("Diesel",'Energy Conv Factors'!$A$6:$M$17,'General Info'!$E$7,FALSE))/1000</f>
        <v>#VALUE!</v>
      </c>
      <c r="U16" s="51"/>
      <c r="V16" s="52">
        <f t="shared" si="2"/>
        <v>0</v>
      </c>
      <c r="W16" s="53"/>
      <c r="X16" s="53"/>
      <c r="Y16" s="53"/>
      <c r="Z16" s="23">
        <f t="shared" si="13"/>
        <v>0</v>
      </c>
      <c r="AA16" s="51">
        <f t="shared" si="3"/>
        <v>0</v>
      </c>
      <c r="AB16" s="52" t="e">
        <f t="shared" si="4"/>
        <v>#VALUE!</v>
      </c>
      <c r="AC16" s="52" t="e">
        <f t="shared" si="5"/>
        <v>#N/A</v>
      </c>
      <c r="AD16" s="36" t="e">
        <f t="shared" si="6"/>
        <v>#DIV/0!</v>
      </c>
      <c r="AE16" s="36" t="e">
        <f t="shared" si="7"/>
        <v>#DIV/0!</v>
      </c>
      <c r="AF16" s="36" t="e">
        <f t="shared" si="8"/>
        <v>#DIV/0!</v>
      </c>
      <c r="AG16" s="36" t="e">
        <f t="shared" si="9"/>
        <v>#N/A</v>
      </c>
      <c r="AH16" s="36" t="e">
        <f t="shared" si="10"/>
        <v>#N/A</v>
      </c>
      <c r="AI16" s="37" t="e">
        <f t="shared" si="11"/>
        <v>#N/A</v>
      </c>
      <c r="AJ16" s="65"/>
      <c r="AK16" s="65"/>
      <c r="AL16" s="65"/>
      <c r="AM16" s="65"/>
      <c r="AN16" s="65"/>
      <c r="AO16" s="65"/>
      <c r="AP16" s="65"/>
      <c r="AQ16" s="65"/>
      <c r="AR16" s="65"/>
      <c r="AS16" s="65"/>
    </row>
    <row r="17" spans="1:45" s="27" customFormat="1" ht="11.25">
      <c r="A17" s="65"/>
      <c r="B17" s="28"/>
      <c r="C17" s="24"/>
      <c r="D17" s="52" t="e">
        <f>C17*(HLOOKUP("Electricity",'Energy Conv Factors'!$A$6:$M$17,'General Info'!$E$7,FALSE))/1000</f>
        <v>#VALUE!</v>
      </c>
      <c r="E17" s="51"/>
      <c r="F17" s="52" t="e">
        <f>C17*(HLOOKUP('General Info'!$C$6,'Electricity factors'!$B$3:$N$26,'General Info'!$D$7,TRUE))/1000</f>
        <v>#N/A</v>
      </c>
      <c r="G17" s="24"/>
      <c r="H17" s="52" t="e">
        <f>G17*(HLOOKUP("Natural gas",'Energy Conv Factors'!$A$6:$M$17,'General Info'!$E$7,FALSE))/1000</f>
        <v>#VALUE!</v>
      </c>
      <c r="I17" s="51"/>
      <c r="J17" s="52" t="e">
        <f>G17*(HLOOKUP('General Info'!$C$6,'Natural gas'!B$1:N$2,2,FALSE))</f>
        <v>#N/A</v>
      </c>
      <c r="K17" s="24"/>
      <c r="L17" s="52">
        <f t="shared" si="12"/>
        <v>0</v>
      </c>
      <c r="M17" s="51"/>
      <c r="N17" s="52">
        <f t="shared" si="0"/>
        <v>0</v>
      </c>
      <c r="O17" s="24"/>
      <c r="P17" s="52" t="e">
        <f>O17*(HLOOKUP("Fuel Oil",'Energy Conv Factors'!$A$6:$M$17,'General Info'!$E$7,FALSE))/1000</f>
        <v>#VALUE!</v>
      </c>
      <c r="Q17" s="51"/>
      <c r="R17" s="52">
        <f t="shared" si="1"/>
        <v>0</v>
      </c>
      <c r="S17" s="24"/>
      <c r="T17" s="52" t="e">
        <f>S17*(HLOOKUP("Diesel",'Energy Conv Factors'!$A$6:$M$17,'General Info'!$E$7,FALSE))/1000</f>
        <v>#VALUE!</v>
      </c>
      <c r="U17" s="51"/>
      <c r="V17" s="52">
        <f t="shared" si="2"/>
        <v>0</v>
      </c>
      <c r="W17" s="53"/>
      <c r="X17" s="53"/>
      <c r="Y17" s="53"/>
      <c r="Z17" s="23">
        <f t="shared" si="13"/>
        <v>0</v>
      </c>
      <c r="AA17" s="51">
        <f t="shared" si="3"/>
        <v>0</v>
      </c>
      <c r="AB17" s="52" t="e">
        <f t="shared" si="4"/>
        <v>#VALUE!</v>
      </c>
      <c r="AC17" s="52" t="e">
        <f t="shared" si="5"/>
        <v>#N/A</v>
      </c>
      <c r="AD17" s="36" t="e">
        <f t="shared" si="6"/>
        <v>#DIV/0!</v>
      </c>
      <c r="AE17" s="36" t="e">
        <f t="shared" si="7"/>
        <v>#DIV/0!</v>
      </c>
      <c r="AF17" s="36" t="e">
        <f t="shared" si="8"/>
        <v>#DIV/0!</v>
      </c>
      <c r="AG17" s="36" t="e">
        <f t="shared" si="9"/>
        <v>#N/A</v>
      </c>
      <c r="AH17" s="36" t="e">
        <f t="shared" si="10"/>
        <v>#N/A</v>
      </c>
      <c r="AI17" s="37" t="e">
        <f t="shared" si="11"/>
        <v>#N/A</v>
      </c>
      <c r="AJ17" s="65"/>
      <c r="AK17" s="65"/>
      <c r="AL17" s="65"/>
      <c r="AM17" s="65"/>
      <c r="AN17" s="65"/>
      <c r="AO17" s="65"/>
      <c r="AP17" s="65"/>
      <c r="AQ17" s="65"/>
      <c r="AR17" s="65"/>
      <c r="AS17" s="65"/>
    </row>
    <row r="18" spans="1:45" s="27" customFormat="1" ht="11.25">
      <c r="A18" s="65"/>
      <c r="B18" s="28"/>
      <c r="C18" s="24"/>
      <c r="D18" s="52" t="e">
        <f>C18*(HLOOKUP("Electricity",'Energy Conv Factors'!$A$6:$M$17,'General Info'!$E$7,FALSE))/1000</f>
        <v>#VALUE!</v>
      </c>
      <c r="E18" s="51"/>
      <c r="F18" s="52" t="e">
        <f>C18*(HLOOKUP('General Info'!$C$6,'Electricity factors'!$B$3:$N$26,'General Info'!$D$7,TRUE))/1000</f>
        <v>#N/A</v>
      </c>
      <c r="G18" s="24"/>
      <c r="H18" s="52" t="e">
        <f>G18*(HLOOKUP("Natural gas",'Energy Conv Factors'!$A$6:$M$17,'General Info'!$E$7,FALSE))/1000</f>
        <v>#VALUE!</v>
      </c>
      <c r="I18" s="51"/>
      <c r="J18" s="52" t="e">
        <f>G18*(HLOOKUP('General Info'!$C$6,'Natural gas'!B$1:N$2,2,FALSE))</f>
        <v>#N/A</v>
      </c>
      <c r="K18" s="24"/>
      <c r="L18" s="52">
        <f t="shared" si="12"/>
        <v>0</v>
      </c>
      <c r="M18" s="51"/>
      <c r="N18" s="52">
        <f t="shared" si="0"/>
        <v>0</v>
      </c>
      <c r="O18" s="24"/>
      <c r="P18" s="52" t="e">
        <f>O18*(HLOOKUP("Fuel Oil",'Energy Conv Factors'!$A$6:$M$17,'General Info'!$E$7,FALSE))/1000</f>
        <v>#VALUE!</v>
      </c>
      <c r="Q18" s="51"/>
      <c r="R18" s="52">
        <f t="shared" si="1"/>
        <v>0</v>
      </c>
      <c r="S18" s="24"/>
      <c r="T18" s="52" t="e">
        <f>S18*(HLOOKUP("Diesel",'Energy Conv Factors'!$A$6:$M$17,'General Info'!$E$7,FALSE))/1000</f>
        <v>#VALUE!</v>
      </c>
      <c r="U18" s="51"/>
      <c r="V18" s="52">
        <f t="shared" si="2"/>
        <v>0</v>
      </c>
      <c r="W18" s="53"/>
      <c r="X18" s="53"/>
      <c r="Y18" s="53"/>
      <c r="Z18" s="23">
        <f t="shared" si="13"/>
        <v>0</v>
      </c>
      <c r="AA18" s="51">
        <f t="shared" si="3"/>
        <v>0</v>
      </c>
      <c r="AB18" s="52" t="e">
        <f t="shared" si="4"/>
        <v>#VALUE!</v>
      </c>
      <c r="AC18" s="52" t="e">
        <f t="shared" si="5"/>
        <v>#N/A</v>
      </c>
      <c r="AD18" s="36" t="e">
        <f t="shared" si="6"/>
        <v>#DIV/0!</v>
      </c>
      <c r="AE18" s="36" t="e">
        <f t="shared" si="7"/>
        <v>#DIV/0!</v>
      </c>
      <c r="AF18" s="36" t="e">
        <f t="shared" si="8"/>
        <v>#DIV/0!</v>
      </c>
      <c r="AG18" s="36" t="e">
        <f t="shared" si="9"/>
        <v>#N/A</v>
      </c>
      <c r="AH18" s="36" t="e">
        <f t="shared" si="10"/>
        <v>#N/A</v>
      </c>
      <c r="AI18" s="37" t="e">
        <f t="shared" si="11"/>
        <v>#N/A</v>
      </c>
      <c r="AJ18" s="65"/>
      <c r="AK18" s="65"/>
      <c r="AL18" s="65"/>
      <c r="AM18" s="65"/>
      <c r="AN18" s="65"/>
      <c r="AO18" s="65"/>
      <c r="AP18" s="65"/>
      <c r="AQ18" s="65"/>
      <c r="AR18" s="65"/>
      <c r="AS18" s="65"/>
    </row>
    <row r="19" spans="1:45" s="27" customFormat="1" ht="11.25">
      <c r="A19" s="65"/>
      <c r="B19" s="28"/>
      <c r="C19" s="24"/>
      <c r="D19" s="52" t="e">
        <f>C19*(HLOOKUP("Electricity",'Energy Conv Factors'!$A$6:$M$17,'General Info'!$E$7,FALSE))/1000</f>
        <v>#VALUE!</v>
      </c>
      <c r="E19" s="51"/>
      <c r="F19" s="52" t="e">
        <f>C19*(HLOOKUP('General Info'!$C$6,'Electricity factors'!$B$3:$N$26,'General Info'!$D$7,TRUE))/1000</f>
        <v>#N/A</v>
      </c>
      <c r="G19" s="24"/>
      <c r="H19" s="52" t="e">
        <f>G19*(HLOOKUP("Natural gas",'Energy Conv Factors'!$A$6:$M$17,'General Info'!$E$7,FALSE))/1000</f>
        <v>#VALUE!</v>
      </c>
      <c r="I19" s="51"/>
      <c r="J19" s="52" t="e">
        <f>G19*(HLOOKUP('General Info'!$C$6,'Natural gas'!B$1:N$2,2,FALSE))</f>
        <v>#N/A</v>
      </c>
      <c r="K19" s="24"/>
      <c r="L19" s="52">
        <f t="shared" si="12"/>
        <v>0</v>
      </c>
      <c r="M19" s="51"/>
      <c r="N19" s="52">
        <f t="shared" si="0"/>
        <v>0</v>
      </c>
      <c r="O19" s="24"/>
      <c r="P19" s="52" t="e">
        <f>O19*(HLOOKUP("Fuel Oil",'Energy Conv Factors'!$A$6:$M$17,'General Info'!$E$7,FALSE))/1000</f>
        <v>#VALUE!</v>
      </c>
      <c r="Q19" s="51"/>
      <c r="R19" s="52">
        <f t="shared" si="1"/>
        <v>0</v>
      </c>
      <c r="S19" s="24"/>
      <c r="T19" s="52" t="e">
        <f>S19*(HLOOKUP("Diesel",'Energy Conv Factors'!$A$6:$M$17,'General Info'!$E$7,FALSE))/1000</f>
        <v>#VALUE!</v>
      </c>
      <c r="U19" s="51"/>
      <c r="V19" s="52">
        <f t="shared" si="2"/>
        <v>0</v>
      </c>
      <c r="W19" s="53"/>
      <c r="X19" s="53"/>
      <c r="Y19" s="53"/>
      <c r="Z19" s="23">
        <f aca="true" t="shared" si="14" ref="Z19:Z39">B19</f>
        <v>0</v>
      </c>
      <c r="AA19" s="51">
        <f t="shared" si="3"/>
        <v>0</v>
      </c>
      <c r="AB19" s="52" t="e">
        <f t="shared" si="4"/>
        <v>#VALUE!</v>
      </c>
      <c r="AC19" s="52" t="e">
        <f t="shared" si="5"/>
        <v>#N/A</v>
      </c>
      <c r="AD19" s="36" t="e">
        <f aca="true" t="shared" si="15" ref="AD19:AD39">AA19/W19</f>
        <v>#DIV/0!</v>
      </c>
      <c r="AE19" s="36" t="e">
        <f aca="true" t="shared" si="16" ref="AE19:AE39">AA19/X19</f>
        <v>#DIV/0!</v>
      </c>
      <c r="AF19" s="36" t="e">
        <f aca="true" t="shared" si="17" ref="AF19:AF39">AA19/(Y19*1000)</f>
        <v>#DIV/0!</v>
      </c>
      <c r="AG19" s="36" t="e">
        <f aca="true" t="shared" si="18" ref="AG19:AG39">AC19/W19</f>
        <v>#N/A</v>
      </c>
      <c r="AH19" s="36" t="e">
        <f aca="true" t="shared" si="19" ref="AH19:AH39">AC19/X19</f>
        <v>#N/A</v>
      </c>
      <c r="AI19" s="37" t="e">
        <f aca="true" t="shared" si="20" ref="AI19:AI39">AC19/(Y19*1000)</f>
        <v>#N/A</v>
      </c>
      <c r="AJ19" s="65"/>
      <c r="AK19" s="65"/>
      <c r="AL19" s="65"/>
      <c r="AM19" s="65"/>
      <c r="AN19" s="65"/>
      <c r="AO19" s="65"/>
      <c r="AP19" s="65"/>
      <c r="AQ19" s="65"/>
      <c r="AR19" s="65"/>
      <c r="AS19" s="65"/>
    </row>
    <row r="20" spans="1:45" s="27" customFormat="1" ht="11.25">
      <c r="A20" s="65"/>
      <c r="B20" s="28"/>
      <c r="C20" s="24"/>
      <c r="D20" s="52" t="e">
        <f>C20*(HLOOKUP("Electricity",'Energy Conv Factors'!$A$6:$M$17,'General Info'!$E$7,FALSE))/1000</f>
        <v>#VALUE!</v>
      </c>
      <c r="E20" s="51"/>
      <c r="F20" s="52" t="e">
        <f>C20*(HLOOKUP('General Info'!$C$6,'Electricity factors'!$B$3:$N$26,'General Info'!$D$7,TRUE))/1000</f>
        <v>#N/A</v>
      </c>
      <c r="G20" s="24"/>
      <c r="H20" s="52" t="e">
        <f>G20*(HLOOKUP("Natural gas",'Energy Conv Factors'!$A$6:$M$17,'General Info'!$E$7,FALSE))/1000</f>
        <v>#VALUE!</v>
      </c>
      <c r="I20" s="51"/>
      <c r="J20" s="52" t="e">
        <f>G20*(HLOOKUP('General Info'!$C$6,'Natural gas'!B$1:N$2,2,FALSE))</f>
        <v>#N/A</v>
      </c>
      <c r="K20" s="24"/>
      <c r="L20" s="52">
        <f t="shared" si="12"/>
        <v>0</v>
      </c>
      <c r="M20" s="51"/>
      <c r="N20" s="52">
        <f t="shared" si="0"/>
        <v>0</v>
      </c>
      <c r="O20" s="24"/>
      <c r="P20" s="52" t="e">
        <f>O20*(HLOOKUP("Fuel Oil",'Energy Conv Factors'!$A$6:$M$17,'General Info'!$E$7,FALSE))/1000</f>
        <v>#VALUE!</v>
      </c>
      <c r="Q20" s="51"/>
      <c r="R20" s="52">
        <f t="shared" si="1"/>
        <v>0</v>
      </c>
      <c r="S20" s="24"/>
      <c r="T20" s="52" t="e">
        <f>S20*(HLOOKUP("Diesel",'Energy Conv Factors'!$A$6:$M$17,'General Info'!$E$7,FALSE))/1000</f>
        <v>#VALUE!</v>
      </c>
      <c r="U20" s="51"/>
      <c r="V20" s="52">
        <f t="shared" si="2"/>
        <v>0</v>
      </c>
      <c r="W20" s="53"/>
      <c r="X20" s="53"/>
      <c r="Y20" s="53"/>
      <c r="Z20" s="23">
        <f t="shared" si="14"/>
        <v>0</v>
      </c>
      <c r="AA20" s="51">
        <f t="shared" si="3"/>
        <v>0</v>
      </c>
      <c r="AB20" s="52" t="e">
        <f t="shared" si="4"/>
        <v>#VALUE!</v>
      </c>
      <c r="AC20" s="52" t="e">
        <f t="shared" si="5"/>
        <v>#N/A</v>
      </c>
      <c r="AD20" s="36" t="e">
        <f t="shared" si="15"/>
        <v>#DIV/0!</v>
      </c>
      <c r="AE20" s="36" t="e">
        <f t="shared" si="16"/>
        <v>#DIV/0!</v>
      </c>
      <c r="AF20" s="36" t="e">
        <f t="shared" si="17"/>
        <v>#DIV/0!</v>
      </c>
      <c r="AG20" s="36" t="e">
        <f t="shared" si="18"/>
        <v>#N/A</v>
      </c>
      <c r="AH20" s="36" t="e">
        <f t="shared" si="19"/>
        <v>#N/A</v>
      </c>
      <c r="AI20" s="37" t="e">
        <f t="shared" si="20"/>
        <v>#N/A</v>
      </c>
      <c r="AJ20" s="65"/>
      <c r="AK20" s="65"/>
      <c r="AL20" s="65"/>
      <c r="AM20" s="65"/>
      <c r="AN20" s="65"/>
      <c r="AO20" s="65"/>
      <c r="AP20" s="65"/>
      <c r="AQ20" s="65"/>
      <c r="AR20" s="65"/>
      <c r="AS20" s="65"/>
    </row>
    <row r="21" spans="1:45" s="27" customFormat="1" ht="11.25">
      <c r="A21" s="65"/>
      <c r="B21" s="28"/>
      <c r="C21" s="24"/>
      <c r="D21" s="52" t="e">
        <f>C21*(HLOOKUP("Electricity",'Energy Conv Factors'!$A$6:$M$17,'General Info'!$E$7,FALSE))/1000</f>
        <v>#VALUE!</v>
      </c>
      <c r="E21" s="51"/>
      <c r="F21" s="52" t="e">
        <f>C21*(HLOOKUP('General Info'!$C$6,'Electricity factors'!$B$3:$N$26,'General Info'!$D$7,TRUE))/1000</f>
        <v>#N/A</v>
      </c>
      <c r="G21" s="24"/>
      <c r="H21" s="52" t="e">
        <f>G21*(HLOOKUP("Natural gas",'Energy Conv Factors'!$A$6:$M$17,'General Info'!$E$7,FALSE))/1000</f>
        <v>#VALUE!</v>
      </c>
      <c r="I21" s="51"/>
      <c r="J21" s="52" t="e">
        <f>G21*(HLOOKUP('General Info'!$C$6,'Natural gas'!B$1:N$2,2,FALSE))</f>
        <v>#N/A</v>
      </c>
      <c r="K21" s="24"/>
      <c r="L21" s="52">
        <f t="shared" si="12"/>
        <v>0</v>
      </c>
      <c r="M21" s="51"/>
      <c r="N21" s="52">
        <f t="shared" si="0"/>
        <v>0</v>
      </c>
      <c r="O21" s="24"/>
      <c r="P21" s="52" t="e">
        <f>O21*(HLOOKUP("Fuel Oil",'Energy Conv Factors'!$A$6:$M$17,'General Info'!$E$7,FALSE))/1000</f>
        <v>#VALUE!</v>
      </c>
      <c r="Q21" s="51"/>
      <c r="R21" s="52">
        <f t="shared" si="1"/>
        <v>0</v>
      </c>
      <c r="S21" s="24"/>
      <c r="T21" s="52" t="e">
        <f>S21*(HLOOKUP("Diesel",'Energy Conv Factors'!$A$6:$M$17,'General Info'!$E$7,FALSE))/1000</f>
        <v>#VALUE!</v>
      </c>
      <c r="U21" s="51"/>
      <c r="V21" s="52">
        <f t="shared" si="2"/>
        <v>0</v>
      </c>
      <c r="W21" s="53"/>
      <c r="X21" s="53"/>
      <c r="Y21" s="53"/>
      <c r="Z21" s="23">
        <f t="shared" si="14"/>
        <v>0</v>
      </c>
      <c r="AA21" s="51">
        <f t="shared" si="3"/>
        <v>0</v>
      </c>
      <c r="AB21" s="52" t="e">
        <f t="shared" si="4"/>
        <v>#VALUE!</v>
      </c>
      <c r="AC21" s="52" t="e">
        <f t="shared" si="5"/>
        <v>#N/A</v>
      </c>
      <c r="AD21" s="36" t="e">
        <f t="shared" si="15"/>
        <v>#DIV/0!</v>
      </c>
      <c r="AE21" s="36" t="e">
        <f t="shared" si="16"/>
        <v>#DIV/0!</v>
      </c>
      <c r="AF21" s="36" t="e">
        <f t="shared" si="17"/>
        <v>#DIV/0!</v>
      </c>
      <c r="AG21" s="36" t="e">
        <f t="shared" si="18"/>
        <v>#N/A</v>
      </c>
      <c r="AH21" s="36" t="e">
        <f t="shared" si="19"/>
        <v>#N/A</v>
      </c>
      <c r="AI21" s="37" t="e">
        <f t="shared" si="20"/>
        <v>#N/A</v>
      </c>
      <c r="AJ21" s="65"/>
      <c r="AK21" s="65"/>
      <c r="AL21" s="65"/>
      <c r="AM21" s="65"/>
      <c r="AN21" s="65"/>
      <c r="AO21" s="65"/>
      <c r="AP21" s="65"/>
      <c r="AQ21" s="65"/>
      <c r="AR21" s="65"/>
      <c r="AS21" s="65"/>
    </row>
    <row r="22" spans="1:45" s="27" customFormat="1" ht="11.25">
      <c r="A22" s="65"/>
      <c r="B22" s="28"/>
      <c r="C22" s="24"/>
      <c r="D22" s="52" t="e">
        <f>C22*(HLOOKUP("Electricity",'Energy Conv Factors'!$A$6:$M$17,'General Info'!$E$7,FALSE))/1000</f>
        <v>#VALUE!</v>
      </c>
      <c r="E22" s="51"/>
      <c r="F22" s="52" t="e">
        <f>C22*(HLOOKUP('General Info'!$C$6,'Electricity factors'!$B$3:$N$26,'General Info'!$D$7,TRUE))/1000</f>
        <v>#N/A</v>
      </c>
      <c r="G22" s="24"/>
      <c r="H22" s="52" t="e">
        <f>G22*(HLOOKUP("Natural gas",'Energy Conv Factors'!$A$6:$M$17,'General Info'!$E$7,FALSE))/1000</f>
        <v>#VALUE!</v>
      </c>
      <c r="I22" s="51"/>
      <c r="J22" s="52" t="e">
        <f>G22*(HLOOKUP('General Info'!$C$6,'Natural gas'!B$1:N$2,2,FALSE))</f>
        <v>#N/A</v>
      </c>
      <c r="K22" s="24"/>
      <c r="L22" s="52">
        <f t="shared" si="12"/>
        <v>0</v>
      </c>
      <c r="M22" s="51"/>
      <c r="N22" s="52">
        <f t="shared" si="0"/>
        <v>0</v>
      </c>
      <c r="O22" s="24"/>
      <c r="P22" s="52" t="e">
        <f>O22*(HLOOKUP("Fuel Oil",'Energy Conv Factors'!$A$6:$M$17,'General Info'!$E$7,FALSE))/1000</f>
        <v>#VALUE!</v>
      </c>
      <c r="Q22" s="51"/>
      <c r="R22" s="52">
        <f t="shared" si="1"/>
        <v>0</v>
      </c>
      <c r="S22" s="24"/>
      <c r="T22" s="52" t="e">
        <f>S22*(HLOOKUP("Diesel",'Energy Conv Factors'!$A$6:$M$17,'General Info'!$E$7,FALSE))/1000</f>
        <v>#VALUE!</v>
      </c>
      <c r="U22" s="51"/>
      <c r="V22" s="52">
        <f t="shared" si="2"/>
        <v>0</v>
      </c>
      <c r="W22" s="53"/>
      <c r="X22" s="53"/>
      <c r="Y22" s="53"/>
      <c r="Z22" s="23">
        <f aca="true" t="shared" si="21" ref="Z22:Z31">B22</f>
        <v>0</v>
      </c>
      <c r="AA22" s="51">
        <f t="shared" si="3"/>
        <v>0</v>
      </c>
      <c r="AB22" s="52" t="e">
        <f t="shared" si="4"/>
        <v>#VALUE!</v>
      </c>
      <c r="AC22" s="52" t="e">
        <f t="shared" si="5"/>
        <v>#N/A</v>
      </c>
      <c r="AD22" s="36" t="e">
        <f aca="true" t="shared" si="22" ref="AD22:AD31">AA22/W22</f>
        <v>#DIV/0!</v>
      </c>
      <c r="AE22" s="36" t="e">
        <f aca="true" t="shared" si="23" ref="AE22:AE31">AA22/X22</f>
        <v>#DIV/0!</v>
      </c>
      <c r="AF22" s="36" t="e">
        <f aca="true" t="shared" si="24" ref="AF22:AF31">AA22/(Y22*1000)</f>
        <v>#DIV/0!</v>
      </c>
      <c r="AG22" s="36" t="e">
        <f aca="true" t="shared" si="25" ref="AG22:AG31">AC22/W22</f>
        <v>#N/A</v>
      </c>
      <c r="AH22" s="36" t="e">
        <f aca="true" t="shared" si="26" ref="AH22:AH31">AC22/X22</f>
        <v>#N/A</v>
      </c>
      <c r="AI22" s="37" t="e">
        <f aca="true" t="shared" si="27" ref="AI22:AI31">AC22/(Y22*1000)</f>
        <v>#N/A</v>
      </c>
      <c r="AJ22" s="65"/>
      <c r="AK22" s="65"/>
      <c r="AL22" s="65"/>
      <c r="AM22" s="65"/>
      <c r="AN22" s="65"/>
      <c r="AO22" s="65"/>
      <c r="AP22" s="65"/>
      <c r="AQ22" s="65"/>
      <c r="AR22" s="65"/>
      <c r="AS22" s="65"/>
    </row>
    <row r="23" spans="1:45" s="27" customFormat="1" ht="11.25">
      <c r="A23" s="65"/>
      <c r="B23" s="28"/>
      <c r="C23" s="24"/>
      <c r="D23" s="52" t="e">
        <f>C23*(HLOOKUP("Electricity",'Energy Conv Factors'!$A$6:$M$17,'General Info'!$E$7,FALSE))/1000</f>
        <v>#VALUE!</v>
      </c>
      <c r="E23" s="51"/>
      <c r="F23" s="52" t="e">
        <f>C23*(HLOOKUP('General Info'!$C$6,'Electricity factors'!$B$3:$N$26,'General Info'!$D$7,TRUE))/1000</f>
        <v>#N/A</v>
      </c>
      <c r="G23" s="24"/>
      <c r="H23" s="52" t="e">
        <f>G23*(HLOOKUP("Natural gas",'Energy Conv Factors'!$A$6:$M$17,'General Info'!$E$7,FALSE))/1000</f>
        <v>#VALUE!</v>
      </c>
      <c r="I23" s="51"/>
      <c r="J23" s="52" t="e">
        <f>G23*(HLOOKUP('General Info'!$C$6,'Natural gas'!B$1:N$2,2,FALSE))</f>
        <v>#N/A</v>
      </c>
      <c r="K23" s="24"/>
      <c r="L23" s="52">
        <f t="shared" si="12"/>
        <v>0</v>
      </c>
      <c r="M23" s="51"/>
      <c r="N23" s="52">
        <f t="shared" si="0"/>
        <v>0</v>
      </c>
      <c r="O23" s="24"/>
      <c r="P23" s="52" t="e">
        <f>O23*(HLOOKUP("Fuel Oil",'Energy Conv Factors'!$A$6:$M$17,'General Info'!$E$7,FALSE))/1000</f>
        <v>#VALUE!</v>
      </c>
      <c r="Q23" s="51"/>
      <c r="R23" s="52">
        <f t="shared" si="1"/>
        <v>0</v>
      </c>
      <c r="S23" s="24"/>
      <c r="T23" s="52" t="e">
        <f>S23*(HLOOKUP("Diesel",'Energy Conv Factors'!$A$6:$M$17,'General Info'!$E$7,FALSE))/1000</f>
        <v>#VALUE!</v>
      </c>
      <c r="U23" s="51"/>
      <c r="V23" s="52">
        <f t="shared" si="2"/>
        <v>0</v>
      </c>
      <c r="W23" s="53"/>
      <c r="X23" s="53"/>
      <c r="Y23" s="53"/>
      <c r="Z23" s="23">
        <f t="shared" si="21"/>
        <v>0</v>
      </c>
      <c r="AA23" s="51">
        <f t="shared" si="3"/>
        <v>0</v>
      </c>
      <c r="AB23" s="52" t="e">
        <f t="shared" si="4"/>
        <v>#VALUE!</v>
      </c>
      <c r="AC23" s="52" t="e">
        <f t="shared" si="5"/>
        <v>#N/A</v>
      </c>
      <c r="AD23" s="36" t="e">
        <f t="shared" si="22"/>
        <v>#DIV/0!</v>
      </c>
      <c r="AE23" s="36" t="e">
        <f t="shared" si="23"/>
        <v>#DIV/0!</v>
      </c>
      <c r="AF23" s="36" t="e">
        <f t="shared" si="24"/>
        <v>#DIV/0!</v>
      </c>
      <c r="AG23" s="36" t="e">
        <f t="shared" si="25"/>
        <v>#N/A</v>
      </c>
      <c r="AH23" s="36" t="e">
        <f t="shared" si="26"/>
        <v>#N/A</v>
      </c>
      <c r="AI23" s="37" t="e">
        <f t="shared" si="27"/>
        <v>#N/A</v>
      </c>
      <c r="AJ23" s="65"/>
      <c r="AK23" s="65"/>
      <c r="AL23" s="65"/>
      <c r="AM23" s="65"/>
      <c r="AN23" s="65"/>
      <c r="AO23" s="65"/>
      <c r="AP23" s="65"/>
      <c r="AQ23" s="65"/>
      <c r="AR23" s="65"/>
      <c r="AS23" s="65"/>
    </row>
    <row r="24" spans="1:45" s="27" customFormat="1" ht="11.25">
      <c r="A24" s="65"/>
      <c r="B24" s="28"/>
      <c r="C24" s="24"/>
      <c r="D24" s="52" t="e">
        <f>C24*(HLOOKUP("Electricity",'Energy Conv Factors'!$A$6:$M$17,'General Info'!$E$7,FALSE))/1000</f>
        <v>#VALUE!</v>
      </c>
      <c r="E24" s="51"/>
      <c r="F24" s="52" t="e">
        <f>C24*(HLOOKUP('General Info'!$C$6,'Electricity factors'!$B$3:$N$26,'General Info'!$D$7,TRUE))/1000</f>
        <v>#N/A</v>
      </c>
      <c r="G24" s="24"/>
      <c r="H24" s="52" t="e">
        <f>G24*(HLOOKUP("Natural gas",'Energy Conv Factors'!$A$6:$M$17,'General Info'!$E$7,FALSE))/1000</f>
        <v>#VALUE!</v>
      </c>
      <c r="I24" s="51"/>
      <c r="J24" s="52" t="e">
        <f>G24*(HLOOKUP('General Info'!$C$6,'Natural gas'!B$1:N$2,2,FALSE))</f>
        <v>#N/A</v>
      </c>
      <c r="K24" s="24"/>
      <c r="L24" s="52">
        <f t="shared" si="12"/>
        <v>0</v>
      </c>
      <c r="M24" s="51"/>
      <c r="N24" s="52">
        <f t="shared" si="0"/>
        <v>0</v>
      </c>
      <c r="O24" s="24"/>
      <c r="P24" s="52" t="e">
        <f>O24*(HLOOKUP("Fuel Oil",'Energy Conv Factors'!$A$6:$M$17,'General Info'!$E$7,FALSE))/1000</f>
        <v>#VALUE!</v>
      </c>
      <c r="Q24" s="51"/>
      <c r="R24" s="52">
        <f t="shared" si="1"/>
        <v>0</v>
      </c>
      <c r="S24" s="24"/>
      <c r="T24" s="52" t="e">
        <f>S24*(HLOOKUP("Diesel",'Energy Conv Factors'!$A$6:$M$17,'General Info'!$E$7,FALSE))/1000</f>
        <v>#VALUE!</v>
      </c>
      <c r="U24" s="51"/>
      <c r="V24" s="52">
        <f t="shared" si="2"/>
        <v>0</v>
      </c>
      <c r="W24" s="53"/>
      <c r="X24" s="53"/>
      <c r="Y24" s="53"/>
      <c r="Z24" s="23">
        <f t="shared" si="21"/>
        <v>0</v>
      </c>
      <c r="AA24" s="51">
        <f t="shared" si="3"/>
        <v>0</v>
      </c>
      <c r="AB24" s="52" t="e">
        <f t="shared" si="4"/>
        <v>#VALUE!</v>
      </c>
      <c r="AC24" s="52" t="e">
        <f t="shared" si="5"/>
        <v>#N/A</v>
      </c>
      <c r="AD24" s="36" t="e">
        <f t="shared" si="22"/>
        <v>#DIV/0!</v>
      </c>
      <c r="AE24" s="36" t="e">
        <f t="shared" si="23"/>
        <v>#DIV/0!</v>
      </c>
      <c r="AF24" s="36" t="e">
        <f t="shared" si="24"/>
        <v>#DIV/0!</v>
      </c>
      <c r="AG24" s="36" t="e">
        <f t="shared" si="25"/>
        <v>#N/A</v>
      </c>
      <c r="AH24" s="36" t="e">
        <f t="shared" si="26"/>
        <v>#N/A</v>
      </c>
      <c r="AI24" s="37" t="e">
        <f t="shared" si="27"/>
        <v>#N/A</v>
      </c>
      <c r="AJ24" s="65"/>
      <c r="AK24" s="65"/>
      <c r="AL24" s="65"/>
      <c r="AM24" s="65"/>
      <c r="AN24" s="65"/>
      <c r="AO24" s="65"/>
      <c r="AP24" s="65"/>
      <c r="AQ24" s="65"/>
      <c r="AR24" s="65"/>
      <c r="AS24" s="65"/>
    </row>
    <row r="25" spans="1:45" s="27" customFormat="1" ht="11.25">
      <c r="A25" s="65"/>
      <c r="B25" s="28"/>
      <c r="C25" s="24"/>
      <c r="D25" s="52" t="e">
        <f>C25*(HLOOKUP("Electricity",'Energy Conv Factors'!$A$6:$M$17,'General Info'!$E$7,FALSE))/1000</f>
        <v>#VALUE!</v>
      </c>
      <c r="E25" s="51"/>
      <c r="F25" s="52" t="e">
        <f>C25*(HLOOKUP('General Info'!$C$6,'Electricity factors'!$B$3:$N$26,'General Info'!$D$7,TRUE))/1000</f>
        <v>#N/A</v>
      </c>
      <c r="G25" s="24"/>
      <c r="H25" s="52" t="e">
        <f>G25*(HLOOKUP("Natural gas",'Energy Conv Factors'!$A$6:$M$17,'General Info'!$E$7,FALSE))/1000</f>
        <v>#VALUE!</v>
      </c>
      <c r="I25" s="51"/>
      <c r="J25" s="52" t="e">
        <f>G25*(HLOOKUP('General Info'!$C$6,'Natural gas'!B$1:N$2,2,FALSE))</f>
        <v>#N/A</v>
      </c>
      <c r="K25" s="24"/>
      <c r="L25" s="52">
        <f t="shared" si="12"/>
        <v>0</v>
      </c>
      <c r="M25" s="51"/>
      <c r="N25" s="52">
        <f t="shared" si="0"/>
        <v>0</v>
      </c>
      <c r="O25" s="24"/>
      <c r="P25" s="52" t="e">
        <f>O25*(HLOOKUP("Fuel Oil",'Energy Conv Factors'!$A$6:$M$17,'General Info'!$E$7,FALSE))/1000</f>
        <v>#VALUE!</v>
      </c>
      <c r="Q25" s="51"/>
      <c r="R25" s="52">
        <f t="shared" si="1"/>
        <v>0</v>
      </c>
      <c r="S25" s="24"/>
      <c r="T25" s="52" t="e">
        <f>S25*(HLOOKUP("Diesel",'Energy Conv Factors'!$A$6:$M$17,'General Info'!$E$7,FALSE))/1000</f>
        <v>#VALUE!</v>
      </c>
      <c r="U25" s="51"/>
      <c r="V25" s="52">
        <f t="shared" si="2"/>
        <v>0</v>
      </c>
      <c r="W25" s="53"/>
      <c r="X25" s="53"/>
      <c r="Y25" s="53"/>
      <c r="Z25" s="23">
        <f t="shared" si="21"/>
        <v>0</v>
      </c>
      <c r="AA25" s="51">
        <f t="shared" si="3"/>
        <v>0</v>
      </c>
      <c r="AB25" s="52" t="e">
        <f t="shared" si="4"/>
        <v>#VALUE!</v>
      </c>
      <c r="AC25" s="52" t="e">
        <f t="shared" si="5"/>
        <v>#N/A</v>
      </c>
      <c r="AD25" s="36" t="e">
        <f t="shared" si="22"/>
        <v>#DIV/0!</v>
      </c>
      <c r="AE25" s="36" t="e">
        <f t="shared" si="23"/>
        <v>#DIV/0!</v>
      </c>
      <c r="AF25" s="36" t="e">
        <f t="shared" si="24"/>
        <v>#DIV/0!</v>
      </c>
      <c r="AG25" s="36" t="e">
        <f t="shared" si="25"/>
        <v>#N/A</v>
      </c>
      <c r="AH25" s="36" t="e">
        <f t="shared" si="26"/>
        <v>#N/A</v>
      </c>
      <c r="AI25" s="37" t="e">
        <f t="shared" si="27"/>
        <v>#N/A</v>
      </c>
      <c r="AJ25" s="65"/>
      <c r="AK25" s="65"/>
      <c r="AL25" s="65"/>
      <c r="AM25" s="65"/>
      <c r="AN25" s="65"/>
      <c r="AO25" s="65"/>
      <c r="AP25" s="65"/>
      <c r="AQ25" s="65"/>
      <c r="AR25" s="65"/>
      <c r="AS25" s="65"/>
    </row>
    <row r="26" spans="1:45" s="27" customFormat="1" ht="11.25">
      <c r="A26" s="65"/>
      <c r="B26" s="28"/>
      <c r="C26" s="24"/>
      <c r="D26" s="52" t="e">
        <f>C26*(HLOOKUP("Electricity",'Energy Conv Factors'!$A$6:$M$17,'General Info'!$E$7,FALSE))/1000</f>
        <v>#VALUE!</v>
      </c>
      <c r="E26" s="51"/>
      <c r="F26" s="52" t="e">
        <f>C26*(HLOOKUP('General Info'!$C$6,'Electricity factors'!$B$3:$N$26,'General Info'!$D$7,TRUE))/1000</f>
        <v>#N/A</v>
      </c>
      <c r="G26" s="24"/>
      <c r="H26" s="52" t="e">
        <f>G26*(HLOOKUP("Natural gas",'Energy Conv Factors'!$A$6:$M$17,'General Info'!$E$7,FALSE))/1000</f>
        <v>#VALUE!</v>
      </c>
      <c r="I26" s="51"/>
      <c r="J26" s="52" t="e">
        <f>G26*(HLOOKUP('General Info'!$C$6,'Natural gas'!B$1:N$2,2,FALSE))</f>
        <v>#N/A</v>
      </c>
      <c r="K26" s="24"/>
      <c r="L26" s="52">
        <f t="shared" si="12"/>
        <v>0</v>
      </c>
      <c r="M26" s="51"/>
      <c r="N26" s="52">
        <f t="shared" si="0"/>
        <v>0</v>
      </c>
      <c r="O26" s="24"/>
      <c r="P26" s="52" t="e">
        <f>O26*(HLOOKUP("Fuel Oil",'Energy Conv Factors'!$A$6:$M$17,'General Info'!$E$7,FALSE))/1000</f>
        <v>#VALUE!</v>
      </c>
      <c r="Q26" s="51"/>
      <c r="R26" s="52">
        <f t="shared" si="1"/>
        <v>0</v>
      </c>
      <c r="S26" s="24"/>
      <c r="T26" s="52" t="e">
        <f>S26*(HLOOKUP("Diesel",'Energy Conv Factors'!$A$6:$M$17,'General Info'!$E$7,FALSE))/1000</f>
        <v>#VALUE!</v>
      </c>
      <c r="U26" s="51"/>
      <c r="V26" s="52">
        <f t="shared" si="2"/>
        <v>0</v>
      </c>
      <c r="W26" s="53"/>
      <c r="X26" s="53"/>
      <c r="Y26" s="53"/>
      <c r="Z26" s="23">
        <f t="shared" si="21"/>
        <v>0</v>
      </c>
      <c r="AA26" s="51">
        <f t="shared" si="3"/>
        <v>0</v>
      </c>
      <c r="AB26" s="52" t="e">
        <f t="shared" si="4"/>
        <v>#VALUE!</v>
      </c>
      <c r="AC26" s="52" t="e">
        <f t="shared" si="5"/>
        <v>#N/A</v>
      </c>
      <c r="AD26" s="36" t="e">
        <f t="shared" si="22"/>
        <v>#DIV/0!</v>
      </c>
      <c r="AE26" s="36" t="e">
        <f t="shared" si="23"/>
        <v>#DIV/0!</v>
      </c>
      <c r="AF26" s="36" t="e">
        <f t="shared" si="24"/>
        <v>#DIV/0!</v>
      </c>
      <c r="AG26" s="36" t="e">
        <f t="shared" si="25"/>
        <v>#N/A</v>
      </c>
      <c r="AH26" s="36" t="e">
        <f t="shared" si="26"/>
        <v>#N/A</v>
      </c>
      <c r="AI26" s="37" t="e">
        <f t="shared" si="27"/>
        <v>#N/A</v>
      </c>
      <c r="AJ26" s="65"/>
      <c r="AK26" s="65"/>
      <c r="AL26" s="65"/>
      <c r="AM26" s="65"/>
      <c r="AN26" s="65"/>
      <c r="AO26" s="65"/>
      <c r="AP26" s="65"/>
      <c r="AQ26" s="65"/>
      <c r="AR26" s="65"/>
      <c r="AS26" s="65"/>
    </row>
    <row r="27" spans="1:45" s="27" customFormat="1" ht="11.25">
      <c r="A27" s="65"/>
      <c r="B27" s="28"/>
      <c r="C27" s="24"/>
      <c r="D27" s="52" t="e">
        <f>C27*(HLOOKUP("Electricity",'Energy Conv Factors'!$A$6:$M$17,'General Info'!$E$7,FALSE))/1000</f>
        <v>#VALUE!</v>
      </c>
      <c r="E27" s="51"/>
      <c r="F27" s="52" t="e">
        <f>C27*(HLOOKUP('General Info'!$C$6,'Electricity factors'!$B$3:$N$26,'General Info'!$D$7,TRUE))/1000</f>
        <v>#N/A</v>
      </c>
      <c r="G27" s="24"/>
      <c r="H27" s="52" t="e">
        <f>G27*(HLOOKUP("Natural gas",'Energy Conv Factors'!$A$6:$M$17,'General Info'!$E$7,FALSE))/1000</f>
        <v>#VALUE!</v>
      </c>
      <c r="I27" s="51"/>
      <c r="J27" s="52" t="e">
        <f>G27*(HLOOKUP('General Info'!$C$6,'Natural gas'!B$1:N$2,2,FALSE))</f>
        <v>#N/A</v>
      </c>
      <c r="K27" s="24"/>
      <c r="L27" s="52">
        <f t="shared" si="12"/>
        <v>0</v>
      </c>
      <c r="M27" s="51"/>
      <c r="N27" s="52">
        <f t="shared" si="0"/>
        <v>0</v>
      </c>
      <c r="O27" s="24"/>
      <c r="P27" s="52" t="e">
        <f>O27*(HLOOKUP("Fuel Oil",'Energy Conv Factors'!$A$6:$M$17,'General Info'!$E$7,FALSE))/1000</f>
        <v>#VALUE!</v>
      </c>
      <c r="Q27" s="51"/>
      <c r="R27" s="52">
        <f t="shared" si="1"/>
        <v>0</v>
      </c>
      <c r="S27" s="24"/>
      <c r="T27" s="52" t="e">
        <f>S27*(HLOOKUP("Diesel",'Energy Conv Factors'!$A$6:$M$17,'General Info'!$E$7,FALSE))/1000</f>
        <v>#VALUE!</v>
      </c>
      <c r="U27" s="51"/>
      <c r="V27" s="52">
        <f t="shared" si="2"/>
        <v>0</v>
      </c>
      <c r="W27" s="53"/>
      <c r="X27" s="53"/>
      <c r="Y27" s="53"/>
      <c r="Z27" s="23">
        <f t="shared" si="21"/>
        <v>0</v>
      </c>
      <c r="AA27" s="51">
        <f t="shared" si="3"/>
        <v>0</v>
      </c>
      <c r="AB27" s="52" t="e">
        <f t="shared" si="4"/>
        <v>#VALUE!</v>
      </c>
      <c r="AC27" s="52" t="e">
        <f t="shared" si="5"/>
        <v>#N/A</v>
      </c>
      <c r="AD27" s="36" t="e">
        <f t="shared" si="22"/>
        <v>#DIV/0!</v>
      </c>
      <c r="AE27" s="36" t="e">
        <f t="shared" si="23"/>
        <v>#DIV/0!</v>
      </c>
      <c r="AF27" s="36" t="e">
        <f t="shared" si="24"/>
        <v>#DIV/0!</v>
      </c>
      <c r="AG27" s="36" t="e">
        <f t="shared" si="25"/>
        <v>#N/A</v>
      </c>
      <c r="AH27" s="36" t="e">
        <f t="shared" si="26"/>
        <v>#N/A</v>
      </c>
      <c r="AI27" s="37" t="e">
        <f t="shared" si="27"/>
        <v>#N/A</v>
      </c>
      <c r="AJ27" s="65"/>
      <c r="AK27" s="65"/>
      <c r="AL27" s="65"/>
      <c r="AM27" s="65"/>
      <c r="AN27" s="65"/>
      <c r="AO27" s="65"/>
      <c r="AP27" s="65"/>
      <c r="AQ27" s="65"/>
      <c r="AR27" s="65"/>
      <c r="AS27" s="65"/>
    </row>
    <row r="28" spans="1:45" s="27" customFormat="1" ht="11.25">
      <c r="A28" s="65"/>
      <c r="B28" s="28"/>
      <c r="C28" s="24"/>
      <c r="D28" s="52" t="e">
        <f>C28*(HLOOKUP("Electricity",'Energy Conv Factors'!$A$6:$M$17,'General Info'!$E$7,FALSE))/1000</f>
        <v>#VALUE!</v>
      </c>
      <c r="E28" s="51"/>
      <c r="F28" s="52" t="e">
        <f>C28*(HLOOKUP('General Info'!$C$6,'Electricity factors'!$B$3:$N$26,'General Info'!$D$7,TRUE))/1000</f>
        <v>#N/A</v>
      </c>
      <c r="G28" s="24"/>
      <c r="H28" s="52" t="e">
        <f>G28*(HLOOKUP("Natural gas",'Energy Conv Factors'!$A$6:$M$17,'General Info'!$E$7,FALSE))/1000</f>
        <v>#VALUE!</v>
      </c>
      <c r="I28" s="51"/>
      <c r="J28" s="52" t="e">
        <f>G28*(HLOOKUP('General Info'!$C$6,'Natural gas'!B$1:N$2,2,FALSE))</f>
        <v>#N/A</v>
      </c>
      <c r="K28" s="24"/>
      <c r="L28" s="52">
        <f t="shared" si="12"/>
        <v>0</v>
      </c>
      <c r="M28" s="51"/>
      <c r="N28" s="52">
        <f t="shared" si="0"/>
        <v>0</v>
      </c>
      <c r="O28" s="24"/>
      <c r="P28" s="52" t="e">
        <f>O28*(HLOOKUP("Fuel Oil",'Energy Conv Factors'!$A$6:$M$17,'General Info'!$E$7,FALSE))/1000</f>
        <v>#VALUE!</v>
      </c>
      <c r="Q28" s="51"/>
      <c r="R28" s="52">
        <f t="shared" si="1"/>
        <v>0</v>
      </c>
      <c r="S28" s="24"/>
      <c r="T28" s="52" t="e">
        <f>S28*(HLOOKUP("Diesel",'Energy Conv Factors'!$A$6:$M$17,'General Info'!$E$7,FALSE))/1000</f>
        <v>#VALUE!</v>
      </c>
      <c r="U28" s="51"/>
      <c r="V28" s="52">
        <f t="shared" si="2"/>
        <v>0</v>
      </c>
      <c r="W28" s="53"/>
      <c r="X28" s="53"/>
      <c r="Y28" s="53"/>
      <c r="Z28" s="23">
        <f t="shared" si="21"/>
        <v>0</v>
      </c>
      <c r="AA28" s="51">
        <f t="shared" si="3"/>
        <v>0</v>
      </c>
      <c r="AB28" s="52" t="e">
        <f t="shared" si="4"/>
        <v>#VALUE!</v>
      </c>
      <c r="AC28" s="52" t="e">
        <f t="shared" si="5"/>
        <v>#N/A</v>
      </c>
      <c r="AD28" s="36" t="e">
        <f t="shared" si="22"/>
        <v>#DIV/0!</v>
      </c>
      <c r="AE28" s="36" t="e">
        <f t="shared" si="23"/>
        <v>#DIV/0!</v>
      </c>
      <c r="AF28" s="36" t="e">
        <f t="shared" si="24"/>
        <v>#DIV/0!</v>
      </c>
      <c r="AG28" s="36" t="e">
        <f t="shared" si="25"/>
        <v>#N/A</v>
      </c>
      <c r="AH28" s="36" t="e">
        <f t="shared" si="26"/>
        <v>#N/A</v>
      </c>
      <c r="AI28" s="37" t="e">
        <f t="shared" si="27"/>
        <v>#N/A</v>
      </c>
      <c r="AJ28" s="65"/>
      <c r="AK28" s="65"/>
      <c r="AL28" s="65"/>
      <c r="AM28" s="65"/>
      <c r="AN28" s="65"/>
      <c r="AO28" s="65"/>
      <c r="AP28" s="65"/>
      <c r="AQ28" s="65"/>
      <c r="AR28" s="65"/>
      <c r="AS28" s="65"/>
    </row>
    <row r="29" spans="1:45" s="27" customFormat="1" ht="11.25">
      <c r="A29" s="65"/>
      <c r="B29" s="28"/>
      <c r="C29" s="24"/>
      <c r="D29" s="52" t="e">
        <f>C29*(HLOOKUP("Electricity",'Energy Conv Factors'!$A$6:$M$17,'General Info'!$E$7,FALSE))/1000</f>
        <v>#VALUE!</v>
      </c>
      <c r="E29" s="51"/>
      <c r="F29" s="52" t="e">
        <f>C29*(HLOOKUP('General Info'!$C$6,'Electricity factors'!$B$3:$N$26,'General Info'!$D$7,TRUE))/1000</f>
        <v>#N/A</v>
      </c>
      <c r="G29" s="24"/>
      <c r="H29" s="52" t="e">
        <f>G29*(HLOOKUP("Natural gas",'Energy Conv Factors'!$A$6:$M$17,'General Info'!$E$7,FALSE))/1000</f>
        <v>#VALUE!</v>
      </c>
      <c r="I29" s="51"/>
      <c r="J29" s="52" t="e">
        <f>G29*(HLOOKUP('General Info'!$C$6,'Natural gas'!B$1:N$2,2,FALSE))</f>
        <v>#N/A</v>
      </c>
      <c r="K29" s="24"/>
      <c r="L29" s="52">
        <f t="shared" si="12"/>
        <v>0</v>
      </c>
      <c r="M29" s="51"/>
      <c r="N29" s="52">
        <f t="shared" si="0"/>
        <v>0</v>
      </c>
      <c r="O29" s="24"/>
      <c r="P29" s="52" t="e">
        <f>O29*(HLOOKUP("Fuel Oil",'Energy Conv Factors'!$A$6:$M$17,'General Info'!$E$7,FALSE))/1000</f>
        <v>#VALUE!</v>
      </c>
      <c r="Q29" s="51"/>
      <c r="R29" s="52">
        <f t="shared" si="1"/>
        <v>0</v>
      </c>
      <c r="S29" s="24"/>
      <c r="T29" s="52" t="e">
        <f>S29*(HLOOKUP("Diesel",'Energy Conv Factors'!$A$6:$M$17,'General Info'!$E$7,FALSE))/1000</f>
        <v>#VALUE!</v>
      </c>
      <c r="U29" s="51"/>
      <c r="V29" s="52">
        <f t="shared" si="2"/>
        <v>0</v>
      </c>
      <c r="W29" s="53"/>
      <c r="X29" s="53"/>
      <c r="Y29" s="53"/>
      <c r="Z29" s="23">
        <f t="shared" si="21"/>
        <v>0</v>
      </c>
      <c r="AA29" s="51">
        <f t="shared" si="3"/>
        <v>0</v>
      </c>
      <c r="AB29" s="52" t="e">
        <f t="shared" si="4"/>
        <v>#VALUE!</v>
      </c>
      <c r="AC29" s="52" t="e">
        <f t="shared" si="5"/>
        <v>#N/A</v>
      </c>
      <c r="AD29" s="36" t="e">
        <f t="shared" si="22"/>
        <v>#DIV/0!</v>
      </c>
      <c r="AE29" s="36" t="e">
        <f t="shared" si="23"/>
        <v>#DIV/0!</v>
      </c>
      <c r="AF29" s="36" t="e">
        <f t="shared" si="24"/>
        <v>#DIV/0!</v>
      </c>
      <c r="AG29" s="36" t="e">
        <f t="shared" si="25"/>
        <v>#N/A</v>
      </c>
      <c r="AH29" s="36" t="e">
        <f t="shared" si="26"/>
        <v>#N/A</v>
      </c>
      <c r="AI29" s="37" t="e">
        <f t="shared" si="27"/>
        <v>#N/A</v>
      </c>
      <c r="AJ29" s="65"/>
      <c r="AK29" s="65"/>
      <c r="AL29" s="65"/>
      <c r="AM29" s="65"/>
      <c r="AN29" s="65"/>
      <c r="AO29" s="65"/>
      <c r="AP29" s="65"/>
      <c r="AQ29" s="65"/>
      <c r="AR29" s="65"/>
      <c r="AS29" s="65"/>
    </row>
    <row r="30" spans="1:45" s="27" customFormat="1" ht="11.25">
      <c r="A30" s="65"/>
      <c r="B30" s="28"/>
      <c r="C30" s="24"/>
      <c r="D30" s="52" t="e">
        <f>C30*(HLOOKUP("Electricity",'Energy Conv Factors'!$A$6:$M$17,'General Info'!$E$7,FALSE))/1000</f>
        <v>#VALUE!</v>
      </c>
      <c r="E30" s="51"/>
      <c r="F30" s="52" t="e">
        <f>C30*(HLOOKUP('General Info'!$C$6,'Electricity factors'!$B$3:$N$26,'General Info'!$D$7,TRUE))/1000</f>
        <v>#N/A</v>
      </c>
      <c r="G30" s="24"/>
      <c r="H30" s="52" t="e">
        <f>G30*(HLOOKUP("Natural gas",'Energy Conv Factors'!$A$6:$M$17,'General Info'!$E$7,FALSE))/1000</f>
        <v>#VALUE!</v>
      </c>
      <c r="I30" s="51"/>
      <c r="J30" s="52" t="e">
        <f>G30*(HLOOKUP('General Info'!$C$6,'Natural gas'!B$1:N$2,2,FALSE))</f>
        <v>#N/A</v>
      </c>
      <c r="K30" s="24"/>
      <c r="L30" s="52">
        <f t="shared" si="12"/>
        <v>0</v>
      </c>
      <c r="M30" s="51"/>
      <c r="N30" s="52">
        <f t="shared" si="0"/>
        <v>0</v>
      </c>
      <c r="O30" s="24"/>
      <c r="P30" s="52" t="e">
        <f>O30*(HLOOKUP("Fuel Oil",'Energy Conv Factors'!$A$6:$M$17,'General Info'!$E$7,FALSE))/1000</f>
        <v>#VALUE!</v>
      </c>
      <c r="Q30" s="51"/>
      <c r="R30" s="52">
        <f t="shared" si="1"/>
        <v>0</v>
      </c>
      <c r="S30" s="24"/>
      <c r="T30" s="52" t="e">
        <f>S30*(HLOOKUP("Diesel",'Energy Conv Factors'!$A$6:$M$17,'General Info'!$E$7,FALSE))/1000</f>
        <v>#VALUE!</v>
      </c>
      <c r="U30" s="51"/>
      <c r="V30" s="52">
        <f t="shared" si="2"/>
        <v>0</v>
      </c>
      <c r="W30" s="53"/>
      <c r="X30" s="53"/>
      <c r="Y30" s="53"/>
      <c r="Z30" s="23">
        <f t="shared" si="21"/>
        <v>0</v>
      </c>
      <c r="AA30" s="51">
        <f t="shared" si="3"/>
        <v>0</v>
      </c>
      <c r="AB30" s="52" t="e">
        <f t="shared" si="4"/>
        <v>#VALUE!</v>
      </c>
      <c r="AC30" s="52" t="e">
        <f t="shared" si="5"/>
        <v>#N/A</v>
      </c>
      <c r="AD30" s="36" t="e">
        <f t="shared" si="22"/>
        <v>#DIV/0!</v>
      </c>
      <c r="AE30" s="36" t="e">
        <f t="shared" si="23"/>
        <v>#DIV/0!</v>
      </c>
      <c r="AF30" s="36" t="e">
        <f t="shared" si="24"/>
        <v>#DIV/0!</v>
      </c>
      <c r="AG30" s="36" t="e">
        <f t="shared" si="25"/>
        <v>#N/A</v>
      </c>
      <c r="AH30" s="36" t="e">
        <f t="shared" si="26"/>
        <v>#N/A</v>
      </c>
      <c r="AI30" s="37" t="e">
        <f t="shared" si="27"/>
        <v>#N/A</v>
      </c>
      <c r="AJ30" s="65"/>
      <c r="AK30" s="65"/>
      <c r="AL30" s="65"/>
      <c r="AM30" s="65"/>
      <c r="AN30" s="65"/>
      <c r="AO30" s="65"/>
      <c r="AP30" s="65"/>
      <c r="AQ30" s="65"/>
      <c r="AR30" s="65"/>
      <c r="AS30" s="65"/>
    </row>
    <row r="31" spans="1:45" s="27" customFormat="1" ht="11.25">
      <c r="A31" s="65"/>
      <c r="B31" s="28"/>
      <c r="C31" s="24"/>
      <c r="D31" s="52" t="e">
        <f>C31*(HLOOKUP("Electricity",'Energy Conv Factors'!$A$6:$M$17,'General Info'!$E$7,FALSE))/1000</f>
        <v>#VALUE!</v>
      </c>
      <c r="E31" s="51"/>
      <c r="F31" s="52" t="e">
        <f>C31*(HLOOKUP('General Info'!$C$6,'Electricity factors'!$B$3:$N$26,'General Info'!$D$7,TRUE))/1000</f>
        <v>#N/A</v>
      </c>
      <c r="G31" s="24"/>
      <c r="H31" s="52" t="e">
        <f>G31*(HLOOKUP("Natural gas",'Energy Conv Factors'!$A$6:$M$17,'General Info'!$E$7,FALSE))/1000</f>
        <v>#VALUE!</v>
      </c>
      <c r="I31" s="51"/>
      <c r="J31" s="52" t="e">
        <f>G31*(HLOOKUP('General Info'!$C$6,'Natural gas'!B$1:N$2,2,FALSE))</f>
        <v>#N/A</v>
      </c>
      <c r="K31" s="24"/>
      <c r="L31" s="52">
        <f t="shared" si="12"/>
        <v>0</v>
      </c>
      <c r="M31" s="51"/>
      <c r="N31" s="52">
        <f t="shared" si="0"/>
        <v>0</v>
      </c>
      <c r="O31" s="24"/>
      <c r="P31" s="52" t="e">
        <f>O31*(HLOOKUP("Fuel Oil",'Energy Conv Factors'!$A$6:$M$17,'General Info'!$E$7,FALSE))/1000</f>
        <v>#VALUE!</v>
      </c>
      <c r="Q31" s="51"/>
      <c r="R31" s="52">
        <f t="shared" si="1"/>
        <v>0</v>
      </c>
      <c r="S31" s="24"/>
      <c r="T31" s="52" t="e">
        <f>S31*(HLOOKUP("Diesel",'Energy Conv Factors'!$A$6:$M$17,'General Info'!$E$7,FALSE))/1000</f>
        <v>#VALUE!</v>
      </c>
      <c r="U31" s="51"/>
      <c r="V31" s="52">
        <f t="shared" si="2"/>
        <v>0</v>
      </c>
      <c r="W31" s="53"/>
      <c r="X31" s="53"/>
      <c r="Y31" s="53"/>
      <c r="Z31" s="23">
        <f t="shared" si="21"/>
        <v>0</v>
      </c>
      <c r="AA31" s="51">
        <f t="shared" si="3"/>
        <v>0</v>
      </c>
      <c r="AB31" s="52" t="e">
        <f t="shared" si="4"/>
        <v>#VALUE!</v>
      </c>
      <c r="AC31" s="52" t="e">
        <f t="shared" si="5"/>
        <v>#N/A</v>
      </c>
      <c r="AD31" s="36" t="e">
        <f t="shared" si="22"/>
        <v>#DIV/0!</v>
      </c>
      <c r="AE31" s="36" t="e">
        <f t="shared" si="23"/>
        <v>#DIV/0!</v>
      </c>
      <c r="AF31" s="36" t="e">
        <f t="shared" si="24"/>
        <v>#DIV/0!</v>
      </c>
      <c r="AG31" s="36" t="e">
        <f t="shared" si="25"/>
        <v>#N/A</v>
      </c>
      <c r="AH31" s="36" t="e">
        <f t="shared" si="26"/>
        <v>#N/A</v>
      </c>
      <c r="AI31" s="37" t="e">
        <f t="shared" si="27"/>
        <v>#N/A</v>
      </c>
      <c r="AJ31" s="65"/>
      <c r="AK31" s="65"/>
      <c r="AL31" s="65"/>
      <c r="AM31" s="65"/>
      <c r="AN31" s="65"/>
      <c r="AO31" s="65"/>
      <c r="AP31" s="65"/>
      <c r="AQ31" s="65"/>
      <c r="AR31" s="65"/>
      <c r="AS31" s="65"/>
    </row>
    <row r="32" spans="1:45" s="27" customFormat="1" ht="11.25">
      <c r="A32" s="65"/>
      <c r="B32" s="28"/>
      <c r="C32" s="24"/>
      <c r="D32" s="52" t="e">
        <f>C32*(HLOOKUP("Electricity",'Energy Conv Factors'!$A$6:$M$17,'General Info'!$E$7,FALSE))/1000</f>
        <v>#VALUE!</v>
      </c>
      <c r="E32" s="51"/>
      <c r="F32" s="52" t="e">
        <f>C32*(HLOOKUP('General Info'!$C$6,'Electricity factors'!$B$3:$N$26,'General Info'!$D$7,TRUE))/1000</f>
        <v>#N/A</v>
      </c>
      <c r="G32" s="24"/>
      <c r="H32" s="52" t="e">
        <f>G32*(HLOOKUP("Natural gas",'Energy Conv Factors'!$A$6:$M$17,'General Info'!$E$7,FALSE))/1000</f>
        <v>#VALUE!</v>
      </c>
      <c r="I32" s="51"/>
      <c r="J32" s="52" t="e">
        <f>G32*(HLOOKUP('General Info'!$C$6,'Natural gas'!B$1:N$2,2,FALSE))</f>
        <v>#N/A</v>
      </c>
      <c r="K32" s="24"/>
      <c r="L32" s="52">
        <f t="shared" si="12"/>
        <v>0</v>
      </c>
      <c r="M32" s="51"/>
      <c r="N32" s="52">
        <f t="shared" si="0"/>
        <v>0</v>
      </c>
      <c r="O32" s="24"/>
      <c r="P32" s="52" t="e">
        <f>O32*(HLOOKUP("Fuel Oil",'Energy Conv Factors'!$A$6:$M$17,'General Info'!$E$7,FALSE))/1000</f>
        <v>#VALUE!</v>
      </c>
      <c r="Q32" s="51"/>
      <c r="R32" s="52">
        <f t="shared" si="1"/>
        <v>0</v>
      </c>
      <c r="S32" s="24"/>
      <c r="T32" s="52" t="e">
        <f>S32*(HLOOKUP("Diesel",'Energy Conv Factors'!$A$6:$M$17,'General Info'!$E$7,FALSE))/1000</f>
        <v>#VALUE!</v>
      </c>
      <c r="U32" s="51"/>
      <c r="V32" s="52">
        <f t="shared" si="2"/>
        <v>0</v>
      </c>
      <c r="W32" s="53"/>
      <c r="X32" s="53"/>
      <c r="Y32" s="53"/>
      <c r="Z32" s="23">
        <f t="shared" si="14"/>
        <v>0</v>
      </c>
      <c r="AA32" s="51">
        <f t="shared" si="3"/>
        <v>0</v>
      </c>
      <c r="AB32" s="52" t="e">
        <f t="shared" si="4"/>
        <v>#VALUE!</v>
      </c>
      <c r="AC32" s="52" t="e">
        <f t="shared" si="5"/>
        <v>#N/A</v>
      </c>
      <c r="AD32" s="36" t="e">
        <f t="shared" si="15"/>
        <v>#DIV/0!</v>
      </c>
      <c r="AE32" s="36" t="e">
        <f t="shared" si="16"/>
        <v>#DIV/0!</v>
      </c>
      <c r="AF32" s="36" t="e">
        <f t="shared" si="17"/>
        <v>#DIV/0!</v>
      </c>
      <c r="AG32" s="36" t="e">
        <f t="shared" si="18"/>
        <v>#N/A</v>
      </c>
      <c r="AH32" s="36" t="e">
        <f t="shared" si="19"/>
        <v>#N/A</v>
      </c>
      <c r="AI32" s="37" t="e">
        <f t="shared" si="20"/>
        <v>#N/A</v>
      </c>
      <c r="AJ32" s="65"/>
      <c r="AK32" s="65"/>
      <c r="AL32" s="65"/>
      <c r="AM32" s="65"/>
      <c r="AN32" s="65"/>
      <c r="AO32" s="65"/>
      <c r="AP32" s="65"/>
      <c r="AQ32" s="65"/>
      <c r="AR32" s="65"/>
      <c r="AS32" s="65"/>
    </row>
    <row r="33" spans="1:45" s="27" customFormat="1" ht="11.25">
      <c r="A33" s="65"/>
      <c r="B33" s="28"/>
      <c r="C33" s="24"/>
      <c r="D33" s="52" t="e">
        <f>C33*(HLOOKUP("Electricity",'Energy Conv Factors'!$A$6:$M$17,'General Info'!$E$7,FALSE))/1000</f>
        <v>#VALUE!</v>
      </c>
      <c r="E33" s="51"/>
      <c r="F33" s="52" t="e">
        <f>C33*(HLOOKUP('General Info'!$C$6,'Electricity factors'!$B$3:$N$26,'General Info'!$D$7,TRUE))/1000</f>
        <v>#N/A</v>
      </c>
      <c r="G33" s="24"/>
      <c r="H33" s="52" t="e">
        <f>G33*(HLOOKUP("Natural gas",'Energy Conv Factors'!$A$6:$M$17,'General Info'!$E$7,FALSE))/1000</f>
        <v>#VALUE!</v>
      </c>
      <c r="I33" s="51"/>
      <c r="J33" s="52" t="e">
        <f>G33*(HLOOKUP('General Info'!$C$6,'Natural gas'!B$1:N$2,2,FALSE))</f>
        <v>#N/A</v>
      </c>
      <c r="K33" s="24"/>
      <c r="L33" s="52">
        <f t="shared" si="12"/>
        <v>0</v>
      </c>
      <c r="M33" s="51"/>
      <c r="N33" s="52">
        <f t="shared" si="0"/>
        <v>0</v>
      </c>
      <c r="O33" s="24"/>
      <c r="P33" s="52" t="e">
        <f>O33*(HLOOKUP("Fuel Oil",'Energy Conv Factors'!$A$6:$M$17,'General Info'!$E$7,FALSE))/1000</f>
        <v>#VALUE!</v>
      </c>
      <c r="Q33" s="51"/>
      <c r="R33" s="52">
        <f t="shared" si="1"/>
        <v>0</v>
      </c>
      <c r="S33" s="24"/>
      <c r="T33" s="52" t="e">
        <f>S33*(HLOOKUP("Diesel",'Energy Conv Factors'!$A$6:$M$17,'General Info'!$E$7,FALSE))/1000</f>
        <v>#VALUE!</v>
      </c>
      <c r="U33" s="51"/>
      <c r="V33" s="52">
        <f t="shared" si="2"/>
        <v>0</v>
      </c>
      <c r="W33" s="53"/>
      <c r="X33" s="53"/>
      <c r="Y33" s="53"/>
      <c r="Z33" s="23">
        <f t="shared" si="14"/>
        <v>0</v>
      </c>
      <c r="AA33" s="51">
        <f t="shared" si="3"/>
        <v>0</v>
      </c>
      <c r="AB33" s="52" t="e">
        <f t="shared" si="4"/>
        <v>#VALUE!</v>
      </c>
      <c r="AC33" s="52" t="e">
        <f t="shared" si="5"/>
        <v>#N/A</v>
      </c>
      <c r="AD33" s="36" t="e">
        <f t="shared" si="15"/>
        <v>#DIV/0!</v>
      </c>
      <c r="AE33" s="36" t="e">
        <f t="shared" si="16"/>
        <v>#DIV/0!</v>
      </c>
      <c r="AF33" s="36" t="e">
        <f t="shared" si="17"/>
        <v>#DIV/0!</v>
      </c>
      <c r="AG33" s="36" t="e">
        <f t="shared" si="18"/>
        <v>#N/A</v>
      </c>
      <c r="AH33" s="36" t="e">
        <f t="shared" si="19"/>
        <v>#N/A</v>
      </c>
      <c r="AI33" s="37" t="e">
        <f t="shared" si="20"/>
        <v>#N/A</v>
      </c>
      <c r="AJ33" s="65"/>
      <c r="AK33" s="65"/>
      <c r="AL33" s="65"/>
      <c r="AM33" s="65"/>
      <c r="AN33" s="65"/>
      <c r="AO33" s="65"/>
      <c r="AP33" s="65"/>
      <c r="AQ33" s="65"/>
      <c r="AR33" s="65"/>
      <c r="AS33" s="65"/>
    </row>
    <row r="34" spans="1:45" s="27" customFormat="1" ht="11.25">
      <c r="A34" s="65"/>
      <c r="B34" s="28"/>
      <c r="C34" s="24"/>
      <c r="D34" s="52" t="e">
        <f>C34*(HLOOKUP("Electricity",'Energy Conv Factors'!$A$6:$M$17,'General Info'!$E$7,FALSE))/1000</f>
        <v>#VALUE!</v>
      </c>
      <c r="E34" s="51"/>
      <c r="F34" s="52" t="e">
        <f>C34*(HLOOKUP('General Info'!$C$6,'Electricity factors'!$B$3:$N$26,'General Info'!$D$7,TRUE))/1000</f>
        <v>#N/A</v>
      </c>
      <c r="G34" s="24"/>
      <c r="H34" s="52" t="e">
        <f>G34*(HLOOKUP("Natural gas",'Energy Conv Factors'!$A$6:$M$17,'General Info'!$E$7,FALSE))/1000</f>
        <v>#VALUE!</v>
      </c>
      <c r="I34" s="51"/>
      <c r="J34" s="52" t="e">
        <f>G34*(HLOOKUP('General Info'!$C$6,'Natural gas'!B$1:N$2,2,FALSE))</f>
        <v>#N/A</v>
      </c>
      <c r="K34" s="24"/>
      <c r="L34" s="52">
        <f t="shared" si="12"/>
        <v>0</v>
      </c>
      <c r="M34" s="51"/>
      <c r="N34" s="52">
        <f t="shared" si="0"/>
        <v>0</v>
      </c>
      <c r="O34" s="24"/>
      <c r="P34" s="52" t="e">
        <f>O34*(HLOOKUP("Fuel Oil",'Energy Conv Factors'!$A$6:$M$17,'General Info'!$E$7,FALSE))/1000</f>
        <v>#VALUE!</v>
      </c>
      <c r="Q34" s="51"/>
      <c r="R34" s="52">
        <f t="shared" si="1"/>
        <v>0</v>
      </c>
      <c r="S34" s="24"/>
      <c r="T34" s="52" t="e">
        <f>S34*(HLOOKUP("Diesel",'Energy Conv Factors'!$A$6:$M$17,'General Info'!$E$7,FALSE))/1000</f>
        <v>#VALUE!</v>
      </c>
      <c r="U34" s="51"/>
      <c r="V34" s="52">
        <f t="shared" si="2"/>
        <v>0</v>
      </c>
      <c r="W34" s="53"/>
      <c r="X34" s="53"/>
      <c r="Y34" s="53"/>
      <c r="Z34" s="23">
        <f t="shared" si="14"/>
        <v>0</v>
      </c>
      <c r="AA34" s="51">
        <f t="shared" si="3"/>
        <v>0</v>
      </c>
      <c r="AB34" s="52" t="e">
        <f t="shared" si="4"/>
        <v>#VALUE!</v>
      </c>
      <c r="AC34" s="52" t="e">
        <f t="shared" si="5"/>
        <v>#N/A</v>
      </c>
      <c r="AD34" s="36" t="e">
        <f t="shared" si="15"/>
        <v>#DIV/0!</v>
      </c>
      <c r="AE34" s="36" t="e">
        <f t="shared" si="16"/>
        <v>#DIV/0!</v>
      </c>
      <c r="AF34" s="36" t="e">
        <f t="shared" si="17"/>
        <v>#DIV/0!</v>
      </c>
      <c r="AG34" s="36" t="e">
        <f t="shared" si="18"/>
        <v>#N/A</v>
      </c>
      <c r="AH34" s="36" t="e">
        <f t="shared" si="19"/>
        <v>#N/A</v>
      </c>
      <c r="AI34" s="37" t="e">
        <f t="shared" si="20"/>
        <v>#N/A</v>
      </c>
      <c r="AJ34" s="65"/>
      <c r="AK34" s="65"/>
      <c r="AL34" s="65"/>
      <c r="AM34" s="65"/>
      <c r="AN34" s="65"/>
      <c r="AO34" s="65"/>
      <c r="AP34" s="65"/>
      <c r="AQ34" s="65"/>
      <c r="AR34" s="65"/>
      <c r="AS34" s="65"/>
    </row>
    <row r="35" spans="1:45" s="27" customFormat="1" ht="11.25">
      <c r="A35" s="65"/>
      <c r="B35" s="28"/>
      <c r="C35" s="24"/>
      <c r="D35" s="52" t="e">
        <f>C35*(HLOOKUP("Electricity",'Energy Conv Factors'!$A$6:$M$17,'General Info'!$E$7,FALSE))/1000</f>
        <v>#VALUE!</v>
      </c>
      <c r="E35" s="51"/>
      <c r="F35" s="52" t="e">
        <f>C35*(HLOOKUP('General Info'!$C$6,'Electricity factors'!$B$3:$N$26,'General Info'!$D$7,TRUE))/1000</f>
        <v>#N/A</v>
      </c>
      <c r="G35" s="24"/>
      <c r="H35" s="52" t="e">
        <f>G35*(HLOOKUP("Natural gas",'Energy Conv Factors'!$A$6:$M$17,'General Info'!$E$7,FALSE))/1000</f>
        <v>#VALUE!</v>
      </c>
      <c r="I35" s="51"/>
      <c r="J35" s="52" t="e">
        <f>G35*(HLOOKUP('General Info'!$C$6,'Natural gas'!B$1:N$2,2,FALSE))</f>
        <v>#N/A</v>
      </c>
      <c r="K35" s="24"/>
      <c r="L35" s="52">
        <f t="shared" si="12"/>
        <v>0</v>
      </c>
      <c r="M35" s="51"/>
      <c r="N35" s="52">
        <f t="shared" si="0"/>
        <v>0</v>
      </c>
      <c r="O35" s="24"/>
      <c r="P35" s="52" t="e">
        <f>O35*(HLOOKUP("Fuel Oil",'Energy Conv Factors'!$A$6:$M$17,'General Info'!$E$7,FALSE))/1000</f>
        <v>#VALUE!</v>
      </c>
      <c r="Q35" s="51"/>
      <c r="R35" s="52">
        <f t="shared" si="1"/>
        <v>0</v>
      </c>
      <c r="S35" s="24"/>
      <c r="T35" s="52" t="e">
        <f>S35*(HLOOKUP("Diesel",'Energy Conv Factors'!$A$6:$M$17,'General Info'!$E$7,FALSE))/1000</f>
        <v>#VALUE!</v>
      </c>
      <c r="U35" s="51"/>
      <c r="V35" s="52">
        <f t="shared" si="2"/>
        <v>0</v>
      </c>
      <c r="W35" s="53"/>
      <c r="X35" s="53"/>
      <c r="Y35" s="53"/>
      <c r="Z35" s="23">
        <f t="shared" si="14"/>
        <v>0</v>
      </c>
      <c r="AA35" s="51">
        <f t="shared" si="3"/>
        <v>0</v>
      </c>
      <c r="AB35" s="52" t="e">
        <f t="shared" si="4"/>
        <v>#VALUE!</v>
      </c>
      <c r="AC35" s="52" t="e">
        <f t="shared" si="5"/>
        <v>#N/A</v>
      </c>
      <c r="AD35" s="36" t="e">
        <f t="shared" si="15"/>
        <v>#DIV/0!</v>
      </c>
      <c r="AE35" s="36" t="e">
        <f t="shared" si="16"/>
        <v>#DIV/0!</v>
      </c>
      <c r="AF35" s="36" t="e">
        <f t="shared" si="17"/>
        <v>#DIV/0!</v>
      </c>
      <c r="AG35" s="36" t="e">
        <f t="shared" si="18"/>
        <v>#N/A</v>
      </c>
      <c r="AH35" s="36" t="e">
        <f t="shared" si="19"/>
        <v>#N/A</v>
      </c>
      <c r="AI35" s="37" t="e">
        <f t="shared" si="20"/>
        <v>#N/A</v>
      </c>
      <c r="AJ35" s="65"/>
      <c r="AK35" s="65"/>
      <c r="AL35" s="65"/>
      <c r="AM35" s="65"/>
      <c r="AN35" s="65"/>
      <c r="AO35" s="65"/>
      <c r="AP35" s="65"/>
      <c r="AQ35" s="65"/>
      <c r="AR35" s="65"/>
      <c r="AS35" s="65"/>
    </row>
    <row r="36" spans="1:45" s="27" customFormat="1" ht="11.25">
      <c r="A36" s="65"/>
      <c r="B36" s="28"/>
      <c r="C36" s="24"/>
      <c r="D36" s="52" t="e">
        <f>C36*(HLOOKUP("Electricity",'Energy Conv Factors'!$A$6:$M$17,'General Info'!$E$7,FALSE))/1000</f>
        <v>#VALUE!</v>
      </c>
      <c r="E36" s="51"/>
      <c r="F36" s="52" t="e">
        <f>C36*(HLOOKUP('General Info'!$C$6,'Electricity factors'!$B$3:$N$26,'General Info'!$D$7,TRUE))/1000</f>
        <v>#N/A</v>
      </c>
      <c r="G36" s="24"/>
      <c r="H36" s="52" t="e">
        <f>G36*(HLOOKUP("Natural gas",'Energy Conv Factors'!$A$6:$M$17,'General Info'!$E$7,FALSE))/1000</f>
        <v>#VALUE!</v>
      </c>
      <c r="I36" s="51"/>
      <c r="J36" s="52" t="e">
        <f>G36*(HLOOKUP('General Info'!$C$6,'Natural gas'!B$1:N$2,2,FALSE))</f>
        <v>#N/A</v>
      </c>
      <c r="K36" s="24"/>
      <c r="L36" s="52">
        <f t="shared" si="12"/>
        <v>0</v>
      </c>
      <c r="M36" s="51"/>
      <c r="N36" s="52">
        <f t="shared" si="0"/>
        <v>0</v>
      </c>
      <c r="O36" s="24"/>
      <c r="P36" s="52" t="e">
        <f>O36*(HLOOKUP("Fuel Oil",'Energy Conv Factors'!$A$6:$M$17,'General Info'!$E$7,FALSE))/1000</f>
        <v>#VALUE!</v>
      </c>
      <c r="Q36" s="51"/>
      <c r="R36" s="52">
        <f t="shared" si="1"/>
        <v>0</v>
      </c>
      <c r="S36" s="24"/>
      <c r="T36" s="52" t="e">
        <f>S36*(HLOOKUP("Diesel",'Energy Conv Factors'!$A$6:$M$17,'General Info'!$E$7,FALSE))/1000</f>
        <v>#VALUE!</v>
      </c>
      <c r="U36" s="51"/>
      <c r="V36" s="52">
        <f t="shared" si="2"/>
        <v>0</v>
      </c>
      <c r="W36" s="53"/>
      <c r="X36" s="53"/>
      <c r="Y36" s="53"/>
      <c r="Z36" s="23">
        <f t="shared" si="14"/>
        <v>0</v>
      </c>
      <c r="AA36" s="51">
        <f t="shared" si="3"/>
        <v>0</v>
      </c>
      <c r="AB36" s="52" t="e">
        <f t="shared" si="4"/>
        <v>#VALUE!</v>
      </c>
      <c r="AC36" s="52" t="e">
        <f t="shared" si="5"/>
        <v>#N/A</v>
      </c>
      <c r="AD36" s="36" t="e">
        <f t="shared" si="15"/>
        <v>#DIV/0!</v>
      </c>
      <c r="AE36" s="36" t="e">
        <f t="shared" si="16"/>
        <v>#DIV/0!</v>
      </c>
      <c r="AF36" s="36" t="e">
        <f t="shared" si="17"/>
        <v>#DIV/0!</v>
      </c>
      <c r="AG36" s="36" t="e">
        <f t="shared" si="18"/>
        <v>#N/A</v>
      </c>
      <c r="AH36" s="36" t="e">
        <f t="shared" si="19"/>
        <v>#N/A</v>
      </c>
      <c r="AI36" s="37" t="e">
        <f t="shared" si="20"/>
        <v>#N/A</v>
      </c>
      <c r="AJ36" s="65"/>
      <c r="AK36" s="65"/>
      <c r="AL36" s="65"/>
      <c r="AM36" s="65"/>
      <c r="AN36" s="65"/>
      <c r="AO36" s="65"/>
      <c r="AP36" s="65"/>
      <c r="AQ36" s="65"/>
      <c r="AR36" s="65"/>
      <c r="AS36" s="65"/>
    </row>
    <row r="37" spans="1:45" s="27" customFormat="1" ht="11.25">
      <c r="A37" s="65"/>
      <c r="B37" s="28"/>
      <c r="C37" s="24"/>
      <c r="D37" s="52" t="e">
        <f>C37*(HLOOKUP("Electricity",'Energy Conv Factors'!$A$6:$M$17,'General Info'!$E$7,FALSE))/1000</f>
        <v>#VALUE!</v>
      </c>
      <c r="E37" s="51"/>
      <c r="F37" s="52" t="e">
        <f>C37*(HLOOKUP('General Info'!$C$6,'Electricity factors'!$B$3:$N$26,'General Info'!$D$7,TRUE))/1000</f>
        <v>#N/A</v>
      </c>
      <c r="G37" s="24"/>
      <c r="H37" s="52" t="e">
        <f>G37*(HLOOKUP("Natural gas",'Energy Conv Factors'!$A$6:$M$17,'General Info'!$E$7,FALSE))/1000</f>
        <v>#VALUE!</v>
      </c>
      <c r="I37" s="51"/>
      <c r="J37" s="52" t="e">
        <f>G37*(HLOOKUP('General Info'!$C$6,'Natural gas'!B$1:N$2,2,FALSE))</f>
        <v>#N/A</v>
      </c>
      <c r="K37" s="24"/>
      <c r="L37" s="52">
        <f t="shared" si="12"/>
        <v>0</v>
      </c>
      <c r="M37" s="51"/>
      <c r="N37" s="52">
        <f t="shared" si="0"/>
        <v>0</v>
      </c>
      <c r="O37" s="24"/>
      <c r="P37" s="52" t="e">
        <f>O37*(HLOOKUP("Fuel Oil",'Energy Conv Factors'!$A$6:$M$17,'General Info'!$E$7,FALSE))/1000</f>
        <v>#VALUE!</v>
      </c>
      <c r="Q37" s="51"/>
      <c r="R37" s="52">
        <f t="shared" si="1"/>
        <v>0</v>
      </c>
      <c r="S37" s="24"/>
      <c r="T37" s="52" t="e">
        <f>S37*(HLOOKUP("Diesel",'Energy Conv Factors'!$A$6:$M$17,'General Info'!$E$7,FALSE))/1000</f>
        <v>#VALUE!</v>
      </c>
      <c r="U37" s="51"/>
      <c r="V37" s="52">
        <f t="shared" si="2"/>
        <v>0</v>
      </c>
      <c r="W37" s="53"/>
      <c r="X37" s="53"/>
      <c r="Y37" s="53"/>
      <c r="Z37" s="23">
        <f t="shared" si="14"/>
        <v>0</v>
      </c>
      <c r="AA37" s="51">
        <f t="shared" si="3"/>
        <v>0</v>
      </c>
      <c r="AB37" s="52" t="e">
        <f t="shared" si="4"/>
        <v>#VALUE!</v>
      </c>
      <c r="AC37" s="52" t="e">
        <f t="shared" si="5"/>
        <v>#N/A</v>
      </c>
      <c r="AD37" s="36" t="e">
        <f t="shared" si="15"/>
        <v>#DIV/0!</v>
      </c>
      <c r="AE37" s="36" t="e">
        <f t="shared" si="16"/>
        <v>#DIV/0!</v>
      </c>
      <c r="AF37" s="36" t="e">
        <f t="shared" si="17"/>
        <v>#DIV/0!</v>
      </c>
      <c r="AG37" s="36" t="e">
        <f t="shared" si="18"/>
        <v>#N/A</v>
      </c>
      <c r="AH37" s="36" t="e">
        <f t="shared" si="19"/>
        <v>#N/A</v>
      </c>
      <c r="AI37" s="37" t="e">
        <f t="shared" si="20"/>
        <v>#N/A</v>
      </c>
      <c r="AJ37" s="65"/>
      <c r="AK37" s="65"/>
      <c r="AL37" s="65"/>
      <c r="AM37" s="65"/>
      <c r="AN37" s="65"/>
      <c r="AO37" s="65"/>
      <c r="AP37" s="65"/>
      <c r="AQ37" s="65"/>
      <c r="AR37" s="65"/>
      <c r="AS37" s="65"/>
    </row>
    <row r="38" spans="1:45" s="27" customFormat="1" ht="11.25">
      <c r="A38" s="65"/>
      <c r="B38" s="28"/>
      <c r="C38" s="24"/>
      <c r="D38" s="52" t="e">
        <f>C38*(HLOOKUP("Electricity",'Energy Conv Factors'!$A$6:$M$17,'General Info'!$E$7,FALSE))/1000</f>
        <v>#VALUE!</v>
      </c>
      <c r="E38" s="51"/>
      <c r="F38" s="52" t="e">
        <f>C38*(HLOOKUP('General Info'!$C$6,'Electricity factors'!$B$3:$N$26,'General Info'!$D$7,TRUE))/1000</f>
        <v>#N/A</v>
      </c>
      <c r="G38" s="24"/>
      <c r="H38" s="52" t="e">
        <f>G38*(HLOOKUP("Natural gas",'Energy Conv Factors'!$A$6:$M$17,'General Info'!$E$7,FALSE))/1000</f>
        <v>#VALUE!</v>
      </c>
      <c r="I38" s="51"/>
      <c r="J38" s="52" t="e">
        <f>G38*(HLOOKUP('General Info'!$C$6,'Natural gas'!B$1:N$2,2,FALSE))</f>
        <v>#N/A</v>
      </c>
      <c r="K38" s="24"/>
      <c r="L38" s="52">
        <f t="shared" si="12"/>
        <v>0</v>
      </c>
      <c r="M38" s="51"/>
      <c r="N38" s="52">
        <f t="shared" si="0"/>
        <v>0</v>
      </c>
      <c r="O38" s="24"/>
      <c r="P38" s="52" t="e">
        <f>O38*(HLOOKUP("Fuel Oil",'Energy Conv Factors'!$A$6:$M$17,'General Info'!$E$7,FALSE))/1000</f>
        <v>#VALUE!</v>
      </c>
      <c r="Q38" s="51"/>
      <c r="R38" s="52">
        <f t="shared" si="1"/>
        <v>0</v>
      </c>
      <c r="S38" s="24"/>
      <c r="T38" s="52" t="e">
        <f>S38*(HLOOKUP("Diesel",'Energy Conv Factors'!$A$6:$M$17,'General Info'!$E$7,FALSE))/1000</f>
        <v>#VALUE!</v>
      </c>
      <c r="U38" s="51"/>
      <c r="V38" s="52">
        <f t="shared" si="2"/>
        <v>0</v>
      </c>
      <c r="W38" s="53"/>
      <c r="X38" s="53"/>
      <c r="Y38" s="53"/>
      <c r="Z38" s="23">
        <f t="shared" si="14"/>
        <v>0</v>
      </c>
      <c r="AA38" s="51">
        <f t="shared" si="3"/>
        <v>0</v>
      </c>
      <c r="AB38" s="52" t="e">
        <f t="shared" si="4"/>
        <v>#VALUE!</v>
      </c>
      <c r="AC38" s="52" t="e">
        <f t="shared" si="5"/>
        <v>#N/A</v>
      </c>
      <c r="AD38" s="36" t="e">
        <f t="shared" si="15"/>
        <v>#DIV/0!</v>
      </c>
      <c r="AE38" s="36" t="e">
        <f t="shared" si="16"/>
        <v>#DIV/0!</v>
      </c>
      <c r="AF38" s="36" t="e">
        <f t="shared" si="17"/>
        <v>#DIV/0!</v>
      </c>
      <c r="AG38" s="36" t="e">
        <f t="shared" si="18"/>
        <v>#N/A</v>
      </c>
      <c r="AH38" s="36" t="e">
        <f t="shared" si="19"/>
        <v>#N/A</v>
      </c>
      <c r="AI38" s="37" t="e">
        <f t="shared" si="20"/>
        <v>#N/A</v>
      </c>
      <c r="AJ38" s="65"/>
      <c r="AK38" s="65"/>
      <c r="AL38" s="65"/>
      <c r="AM38" s="65"/>
      <c r="AN38" s="65"/>
      <c r="AO38" s="65"/>
      <c r="AP38" s="65"/>
      <c r="AQ38" s="65"/>
      <c r="AR38" s="65"/>
      <c r="AS38" s="65"/>
    </row>
    <row r="39" spans="1:45" s="27" customFormat="1" ht="11.25">
      <c r="A39" s="65"/>
      <c r="B39" s="28"/>
      <c r="C39" s="24"/>
      <c r="D39" s="52" t="e">
        <f>C39*(HLOOKUP("Electricity",'Energy Conv Factors'!$A$6:$M$17,'General Info'!$E$7,FALSE))/1000</f>
        <v>#VALUE!</v>
      </c>
      <c r="E39" s="51"/>
      <c r="F39" s="52" t="e">
        <f>C39*(HLOOKUP('General Info'!$C$6,'Electricity factors'!$B$3:$N$26,'General Info'!$D$7,TRUE))/1000</f>
        <v>#N/A</v>
      </c>
      <c r="G39" s="24"/>
      <c r="H39" s="52" t="e">
        <f>G39*(HLOOKUP("Natural gas",'Energy Conv Factors'!$A$6:$M$17,'General Info'!$E$7,FALSE))/1000</f>
        <v>#VALUE!</v>
      </c>
      <c r="I39" s="51"/>
      <c r="J39" s="52" t="e">
        <f>G39*(HLOOKUP('General Info'!$C$6,'Natural gas'!B$1:N$2,2,FALSE))</f>
        <v>#N/A</v>
      </c>
      <c r="K39" s="24"/>
      <c r="L39" s="52">
        <f t="shared" si="12"/>
        <v>0</v>
      </c>
      <c r="M39" s="51"/>
      <c r="N39" s="52">
        <f t="shared" si="0"/>
        <v>0</v>
      </c>
      <c r="O39" s="24"/>
      <c r="P39" s="52" t="e">
        <f>O39*(HLOOKUP("Fuel Oil",'Energy Conv Factors'!$A$6:$M$17,'General Info'!$E$7,FALSE))/1000</f>
        <v>#VALUE!</v>
      </c>
      <c r="Q39" s="51"/>
      <c r="R39" s="52">
        <f t="shared" si="1"/>
        <v>0</v>
      </c>
      <c r="S39" s="24"/>
      <c r="T39" s="52" t="e">
        <f>S39*(HLOOKUP("Diesel",'Energy Conv Factors'!$A$6:$M$17,'General Info'!$E$7,FALSE))/1000</f>
        <v>#VALUE!</v>
      </c>
      <c r="U39" s="51"/>
      <c r="V39" s="52">
        <f t="shared" si="2"/>
        <v>0</v>
      </c>
      <c r="W39" s="53"/>
      <c r="X39" s="53"/>
      <c r="Y39" s="53"/>
      <c r="Z39" s="23">
        <f t="shared" si="14"/>
        <v>0</v>
      </c>
      <c r="AA39" s="51">
        <f t="shared" si="3"/>
        <v>0</v>
      </c>
      <c r="AB39" s="52" t="e">
        <f t="shared" si="4"/>
        <v>#VALUE!</v>
      </c>
      <c r="AC39" s="52" t="e">
        <f t="shared" si="5"/>
        <v>#N/A</v>
      </c>
      <c r="AD39" s="36" t="e">
        <f t="shared" si="15"/>
        <v>#DIV/0!</v>
      </c>
      <c r="AE39" s="36" t="e">
        <f t="shared" si="16"/>
        <v>#DIV/0!</v>
      </c>
      <c r="AF39" s="36" t="e">
        <f t="shared" si="17"/>
        <v>#DIV/0!</v>
      </c>
      <c r="AG39" s="36" t="e">
        <f t="shared" si="18"/>
        <v>#N/A</v>
      </c>
      <c r="AH39" s="36" t="e">
        <f t="shared" si="19"/>
        <v>#N/A</v>
      </c>
      <c r="AI39" s="37" t="e">
        <f t="shared" si="20"/>
        <v>#N/A</v>
      </c>
      <c r="AJ39" s="65"/>
      <c r="AK39" s="65"/>
      <c r="AL39" s="65"/>
      <c r="AM39" s="65"/>
      <c r="AN39" s="65"/>
      <c r="AO39" s="65"/>
      <c r="AP39" s="65"/>
      <c r="AQ39" s="65"/>
      <c r="AR39" s="65"/>
      <c r="AS39" s="65"/>
    </row>
    <row r="40" spans="1:45" s="27" customFormat="1" ht="11.25">
      <c r="A40" s="65"/>
      <c r="B40" s="28"/>
      <c r="C40" s="24"/>
      <c r="D40" s="52" t="e">
        <f>C40*(HLOOKUP("Electricity",'Energy Conv Factors'!$A$6:$M$17,'General Info'!$E$7,FALSE))/1000</f>
        <v>#VALUE!</v>
      </c>
      <c r="E40" s="51"/>
      <c r="F40" s="52" t="e">
        <f>C40*(HLOOKUP('General Info'!$C$6,'Electricity factors'!$B$3:$N$26,'General Info'!$D$7,TRUE))/1000</f>
        <v>#N/A</v>
      </c>
      <c r="G40" s="24"/>
      <c r="H40" s="52" t="e">
        <f>G40*(HLOOKUP("Natural gas",'Energy Conv Factors'!$A$6:$M$17,'General Info'!$E$7,FALSE))/1000</f>
        <v>#VALUE!</v>
      </c>
      <c r="I40" s="51"/>
      <c r="J40" s="52" t="e">
        <f>G40*(HLOOKUP('General Info'!$C$6,'Natural gas'!B$1:N$2,2,FALSE))</f>
        <v>#N/A</v>
      </c>
      <c r="K40" s="24"/>
      <c r="L40" s="52">
        <f t="shared" si="12"/>
        <v>0</v>
      </c>
      <c r="M40" s="51"/>
      <c r="N40" s="52">
        <f t="shared" si="0"/>
        <v>0</v>
      </c>
      <c r="O40" s="24"/>
      <c r="P40" s="52" t="e">
        <f>O40*(HLOOKUP("Fuel Oil",'Energy Conv Factors'!$A$6:$M$17,'General Info'!$E$7,FALSE))/1000</f>
        <v>#VALUE!</v>
      </c>
      <c r="Q40" s="51"/>
      <c r="R40" s="52">
        <f t="shared" si="1"/>
        <v>0</v>
      </c>
      <c r="S40" s="24"/>
      <c r="T40" s="52" t="e">
        <f>S40*(HLOOKUP("Diesel",'Energy Conv Factors'!$A$6:$M$17,'General Info'!$E$7,FALSE))/1000</f>
        <v>#VALUE!</v>
      </c>
      <c r="U40" s="51"/>
      <c r="V40" s="52">
        <f t="shared" si="2"/>
        <v>0</v>
      </c>
      <c r="W40" s="53"/>
      <c r="X40" s="53"/>
      <c r="Y40" s="53"/>
      <c r="Z40" s="23">
        <f t="shared" si="13"/>
        <v>0</v>
      </c>
      <c r="AA40" s="51">
        <f t="shared" si="3"/>
        <v>0</v>
      </c>
      <c r="AB40" s="52" t="e">
        <f t="shared" si="4"/>
        <v>#VALUE!</v>
      </c>
      <c r="AC40" s="52" t="e">
        <f t="shared" si="5"/>
        <v>#N/A</v>
      </c>
      <c r="AD40" s="36" t="e">
        <f>AA40/W40</f>
        <v>#DIV/0!</v>
      </c>
      <c r="AE40" s="36" t="e">
        <f>AA40/X40</f>
        <v>#DIV/0!</v>
      </c>
      <c r="AF40" s="36" t="e">
        <f>AA40/(Y40*1000)</f>
        <v>#DIV/0!</v>
      </c>
      <c r="AG40" s="36" t="e">
        <f>AC40/W40</f>
        <v>#N/A</v>
      </c>
      <c r="AH40" s="36" t="e">
        <f>AC40/X40</f>
        <v>#N/A</v>
      </c>
      <c r="AI40" s="37" t="e">
        <f>AC40/(Y40*1000)</f>
        <v>#N/A</v>
      </c>
      <c r="AJ40" s="65"/>
      <c r="AK40" s="65"/>
      <c r="AL40" s="65"/>
      <c r="AM40" s="65"/>
      <c r="AN40" s="65"/>
      <c r="AO40" s="65"/>
      <c r="AP40" s="65"/>
      <c r="AQ40" s="65"/>
      <c r="AR40" s="65"/>
      <c r="AS40" s="65"/>
    </row>
    <row r="41" spans="1:45" s="27" customFormat="1" ht="11.25">
      <c r="A41" s="65"/>
      <c r="B41" s="28"/>
      <c r="C41" s="24"/>
      <c r="D41" s="52" t="e">
        <f>C41*(HLOOKUP("Electricity",'Energy Conv Factors'!$A$6:$M$17,'General Info'!$E$7,FALSE))/1000</f>
        <v>#VALUE!</v>
      </c>
      <c r="E41" s="51"/>
      <c r="F41" s="52" t="e">
        <f>C41*(HLOOKUP('General Info'!$C$6,'Electricity factors'!$B$3:$N$26,'General Info'!$D$7,TRUE))/1000</f>
        <v>#N/A</v>
      </c>
      <c r="G41" s="24"/>
      <c r="H41" s="52" t="e">
        <f>G41*(HLOOKUP("Natural gas",'Energy Conv Factors'!$A$6:$M$17,'General Info'!$E$7,FALSE))/1000</f>
        <v>#VALUE!</v>
      </c>
      <c r="I41" s="51"/>
      <c r="J41" s="52" t="e">
        <f>G41*(HLOOKUP('General Info'!$C$6,'Natural gas'!B$1:N$2,2,FALSE))</f>
        <v>#N/A</v>
      </c>
      <c r="K41" s="24"/>
      <c r="L41" s="52">
        <f t="shared" si="12"/>
        <v>0</v>
      </c>
      <c r="M41" s="51"/>
      <c r="N41" s="52">
        <f t="shared" si="0"/>
        <v>0</v>
      </c>
      <c r="O41" s="24"/>
      <c r="P41" s="52" t="e">
        <f>O41*(HLOOKUP("Fuel Oil",'Energy Conv Factors'!$A$6:$M$17,'General Info'!$E$7,FALSE))/1000</f>
        <v>#VALUE!</v>
      </c>
      <c r="Q41" s="51"/>
      <c r="R41" s="52">
        <f t="shared" si="1"/>
        <v>0</v>
      </c>
      <c r="S41" s="24"/>
      <c r="T41" s="52" t="e">
        <f>S41*(HLOOKUP("Diesel",'Energy Conv Factors'!$A$6:$M$17,'General Info'!$E$7,FALSE))/1000</f>
        <v>#VALUE!</v>
      </c>
      <c r="U41" s="51"/>
      <c r="V41" s="52">
        <f t="shared" si="2"/>
        <v>0</v>
      </c>
      <c r="W41" s="53"/>
      <c r="X41" s="53"/>
      <c r="Y41" s="53"/>
      <c r="Z41" s="23">
        <f t="shared" si="13"/>
        <v>0</v>
      </c>
      <c r="AA41" s="51">
        <f t="shared" si="3"/>
        <v>0</v>
      </c>
      <c r="AB41" s="52" t="e">
        <f t="shared" si="4"/>
        <v>#VALUE!</v>
      </c>
      <c r="AC41" s="52" t="e">
        <f t="shared" si="5"/>
        <v>#N/A</v>
      </c>
      <c r="AD41" s="36" t="e">
        <f>AA41/W41</f>
        <v>#DIV/0!</v>
      </c>
      <c r="AE41" s="36" t="e">
        <f>AA41/X41</f>
        <v>#DIV/0!</v>
      </c>
      <c r="AF41" s="36" t="e">
        <f>AA41/(Y41*1000)</f>
        <v>#DIV/0!</v>
      </c>
      <c r="AG41" s="36" t="e">
        <f>AC41/W41</f>
        <v>#N/A</v>
      </c>
      <c r="AH41" s="36" t="e">
        <f>AC41/X41</f>
        <v>#N/A</v>
      </c>
      <c r="AI41" s="37" t="e">
        <f>AC41/(Y41*1000)</f>
        <v>#N/A</v>
      </c>
      <c r="AJ41" s="65"/>
      <c r="AK41" s="65"/>
      <c r="AL41" s="65"/>
      <c r="AM41" s="65"/>
      <c r="AN41" s="65"/>
      <c r="AO41" s="65"/>
      <c r="AP41" s="65"/>
      <c r="AQ41" s="65"/>
      <c r="AR41" s="65"/>
      <c r="AS41" s="65"/>
    </row>
    <row r="42" spans="1:45" s="27" customFormat="1" ht="11.25">
      <c r="A42" s="65"/>
      <c r="B42" s="28"/>
      <c r="C42" s="24"/>
      <c r="D42" s="52" t="e">
        <f>C42*(HLOOKUP("Electricity",'Energy Conv Factors'!$A$6:$M$17,'General Info'!$E$7,FALSE))/1000</f>
        <v>#VALUE!</v>
      </c>
      <c r="E42" s="51"/>
      <c r="F42" s="52" t="e">
        <f>C42*(HLOOKUP('General Info'!$C$6,'Electricity factors'!$B$3:$N$26,'General Info'!$D$7,TRUE))/1000</f>
        <v>#N/A</v>
      </c>
      <c r="G42" s="24"/>
      <c r="H42" s="52" t="e">
        <f>G42*(HLOOKUP("Natural gas",'Energy Conv Factors'!$A$6:$M$17,'General Info'!$E$7,FALSE))/1000</f>
        <v>#VALUE!</v>
      </c>
      <c r="I42" s="51"/>
      <c r="J42" s="52" t="e">
        <f>G42*(HLOOKUP('General Info'!$C$6,'Natural gas'!B$1:N$2,2,FALSE))</f>
        <v>#N/A</v>
      </c>
      <c r="K42" s="24"/>
      <c r="L42" s="52">
        <f t="shared" si="12"/>
        <v>0</v>
      </c>
      <c r="M42" s="51"/>
      <c r="N42" s="52">
        <f t="shared" si="0"/>
        <v>0</v>
      </c>
      <c r="O42" s="24"/>
      <c r="P42" s="52" t="e">
        <f>O42*(HLOOKUP("Fuel Oil",'Energy Conv Factors'!$A$6:$M$17,'General Info'!$E$7,FALSE))/1000</f>
        <v>#VALUE!</v>
      </c>
      <c r="Q42" s="51"/>
      <c r="R42" s="52">
        <f t="shared" si="1"/>
        <v>0</v>
      </c>
      <c r="S42" s="24"/>
      <c r="T42" s="52" t="e">
        <f>S42*(HLOOKUP("Diesel",'Energy Conv Factors'!$A$6:$M$17,'General Info'!$E$7,FALSE))/1000</f>
        <v>#VALUE!</v>
      </c>
      <c r="U42" s="51"/>
      <c r="V42" s="52">
        <f t="shared" si="2"/>
        <v>0</v>
      </c>
      <c r="W42" s="53"/>
      <c r="X42" s="53"/>
      <c r="Y42" s="53"/>
      <c r="Z42" s="23">
        <f t="shared" si="13"/>
        <v>0</v>
      </c>
      <c r="AA42" s="51">
        <f t="shared" si="3"/>
        <v>0</v>
      </c>
      <c r="AB42" s="52" t="e">
        <f t="shared" si="4"/>
        <v>#VALUE!</v>
      </c>
      <c r="AC42" s="52" t="e">
        <f t="shared" si="5"/>
        <v>#N/A</v>
      </c>
      <c r="AD42" s="36" t="e">
        <f>AA42/W42</f>
        <v>#DIV/0!</v>
      </c>
      <c r="AE42" s="36" t="e">
        <f>AA42/X42</f>
        <v>#DIV/0!</v>
      </c>
      <c r="AF42" s="36" t="e">
        <f>AA42/(Y42*1000)</f>
        <v>#DIV/0!</v>
      </c>
      <c r="AG42" s="36" t="e">
        <f>AC42/W42</f>
        <v>#N/A</v>
      </c>
      <c r="AH42" s="36" t="e">
        <f>AC42/X42</f>
        <v>#N/A</v>
      </c>
      <c r="AI42" s="37" t="e">
        <f>AC42/(Y42*1000)</f>
        <v>#N/A</v>
      </c>
      <c r="AJ42" s="65"/>
      <c r="AK42" s="65"/>
      <c r="AL42" s="65"/>
      <c r="AM42" s="65"/>
      <c r="AN42" s="65"/>
      <c r="AO42" s="65"/>
      <c r="AP42" s="65"/>
      <c r="AQ42" s="65"/>
      <c r="AR42" s="65"/>
      <c r="AS42" s="65"/>
    </row>
    <row r="43" spans="1:45" s="27" customFormat="1" ht="11.25">
      <c r="A43" s="65"/>
      <c r="B43" s="28"/>
      <c r="C43" s="24"/>
      <c r="D43" s="52" t="e">
        <f>C43*(HLOOKUP("Electricity",'Energy Conv Factors'!$A$6:$M$17,'General Info'!$E$7,FALSE))/1000</f>
        <v>#VALUE!</v>
      </c>
      <c r="E43" s="51"/>
      <c r="F43" s="52" t="e">
        <f>C43*(HLOOKUP('General Info'!$C$6,'Electricity factors'!$B$3:$N$26,'General Info'!$D$7,TRUE))/1000</f>
        <v>#N/A</v>
      </c>
      <c r="G43" s="24"/>
      <c r="H43" s="52" t="e">
        <f>G43*(HLOOKUP("Natural gas",'Energy Conv Factors'!$A$6:$M$17,'General Info'!$E$7,FALSE))/1000</f>
        <v>#VALUE!</v>
      </c>
      <c r="I43" s="51"/>
      <c r="J43" s="52" t="e">
        <f>G43*(HLOOKUP('General Info'!$C$6,'Natural gas'!B$1:N$2,2,FALSE))</f>
        <v>#N/A</v>
      </c>
      <c r="K43" s="24"/>
      <c r="L43" s="52">
        <f t="shared" si="12"/>
        <v>0</v>
      </c>
      <c r="M43" s="51"/>
      <c r="N43" s="52">
        <f t="shared" si="0"/>
        <v>0</v>
      </c>
      <c r="O43" s="24"/>
      <c r="P43" s="52" t="e">
        <f>O43*(HLOOKUP("Fuel Oil",'Energy Conv Factors'!$A$6:$M$17,'General Info'!$E$7,FALSE))/1000</f>
        <v>#VALUE!</v>
      </c>
      <c r="Q43" s="51"/>
      <c r="R43" s="52">
        <f t="shared" si="1"/>
        <v>0</v>
      </c>
      <c r="S43" s="24"/>
      <c r="T43" s="52" t="e">
        <f>S43*(HLOOKUP("Diesel",'Energy Conv Factors'!$A$6:$M$17,'General Info'!$E$7,FALSE))/1000</f>
        <v>#VALUE!</v>
      </c>
      <c r="U43" s="51"/>
      <c r="V43" s="52">
        <f t="shared" si="2"/>
        <v>0</v>
      </c>
      <c r="W43" s="53"/>
      <c r="X43" s="53"/>
      <c r="Y43" s="53"/>
      <c r="Z43" s="23">
        <f t="shared" si="13"/>
        <v>0</v>
      </c>
      <c r="AA43" s="51">
        <f t="shared" si="3"/>
        <v>0</v>
      </c>
      <c r="AB43" s="52" t="e">
        <f t="shared" si="4"/>
        <v>#VALUE!</v>
      </c>
      <c r="AC43" s="52" t="e">
        <f t="shared" si="5"/>
        <v>#N/A</v>
      </c>
      <c r="AD43" s="36" t="e">
        <f>AA43/W43</f>
        <v>#DIV/0!</v>
      </c>
      <c r="AE43" s="36" t="e">
        <f>AA43/X43</f>
        <v>#DIV/0!</v>
      </c>
      <c r="AF43" s="36" t="e">
        <f>AA43/(Y43*1000)</f>
        <v>#DIV/0!</v>
      </c>
      <c r="AG43" s="36" t="e">
        <f>AC43/W43</f>
        <v>#N/A</v>
      </c>
      <c r="AH43" s="36" t="e">
        <f>AC43/X43</f>
        <v>#N/A</v>
      </c>
      <c r="AI43" s="37" t="e">
        <f>AC43/(Y43*1000)</f>
        <v>#N/A</v>
      </c>
      <c r="AJ43" s="65"/>
      <c r="AK43" s="65"/>
      <c r="AL43" s="65"/>
      <c r="AM43" s="65"/>
      <c r="AN43" s="65"/>
      <c r="AO43" s="65"/>
      <c r="AP43" s="65"/>
      <c r="AQ43" s="65"/>
      <c r="AR43" s="65"/>
      <c r="AS43" s="65"/>
    </row>
    <row r="44" spans="1:45" s="27" customFormat="1" ht="11.25">
      <c r="A44" s="65"/>
      <c r="B44" s="28"/>
      <c r="C44" s="24"/>
      <c r="D44" s="52" t="e">
        <f>C44*(HLOOKUP("Electricity",'Energy Conv Factors'!$A$6:$M$17,'General Info'!$E$7,FALSE))/1000</f>
        <v>#VALUE!</v>
      </c>
      <c r="E44" s="51"/>
      <c r="F44" s="52" t="e">
        <f>C44*(HLOOKUP('General Info'!$C$6,'Electricity factors'!$B$3:$N$26,'General Info'!$D$7,TRUE))/1000</f>
        <v>#N/A</v>
      </c>
      <c r="G44" s="24"/>
      <c r="H44" s="52" t="e">
        <f>G44*(HLOOKUP("Natural gas",'Energy Conv Factors'!$A$6:$M$17,'General Info'!$E$7,FALSE))/1000</f>
        <v>#VALUE!</v>
      </c>
      <c r="I44" s="51"/>
      <c r="J44" s="52" t="e">
        <f>G44*(HLOOKUP('General Info'!$C$6,'Natural gas'!B$1:N$2,2,FALSE))</f>
        <v>#N/A</v>
      </c>
      <c r="K44" s="24"/>
      <c r="L44" s="52">
        <f t="shared" si="12"/>
        <v>0</v>
      </c>
      <c r="M44" s="51"/>
      <c r="N44" s="52">
        <f t="shared" si="0"/>
        <v>0</v>
      </c>
      <c r="O44" s="24"/>
      <c r="P44" s="52" t="e">
        <f>O44*(HLOOKUP("Fuel Oil",'Energy Conv Factors'!$A$6:$M$17,'General Info'!$E$7,FALSE))/1000</f>
        <v>#VALUE!</v>
      </c>
      <c r="Q44" s="51"/>
      <c r="R44" s="52">
        <f t="shared" si="1"/>
        <v>0</v>
      </c>
      <c r="S44" s="24"/>
      <c r="T44" s="52" t="e">
        <f>S44*(HLOOKUP("Diesel",'Energy Conv Factors'!$A$6:$M$17,'General Info'!$E$7,FALSE))/1000</f>
        <v>#VALUE!</v>
      </c>
      <c r="U44" s="51"/>
      <c r="V44" s="52">
        <f t="shared" si="2"/>
        <v>0</v>
      </c>
      <c r="W44" s="53"/>
      <c r="X44" s="53"/>
      <c r="Y44" s="53"/>
      <c r="Z44" s="23">
        <f t="shared" si="13"/>
        <v>0</v>
      </c>
      <c r="AA44" s="51">
        <f t="shared" si="3"/>
        <v>0</v>
      </c>
      <c r="AB44" s="52" t="e">
        <f t="shared" si="4"/>
        <v>#VALUE!</v>
      </c>
      <c r="AC44" s="52" t="e">
        <f t="shared" si="5"/>
        <v>#N/A</v>
      </c>
      <c r="AD44" s="36" t="e">
        <f aca="true" t="shared" si="28" ref="AD44:AD54">AA44/W44</f>
        <v>#DIV/0!</v>
      </c>
      <c r="AE44" s="36" t="e">
        <f aca="true" t="shared" si="29" ref="AE44:AE53">AA44/X44</f>
        <v>#DIV/0!</v>
      </c>
      <c r="AF44" s="36" t="e">
        <f aca="true" t="shared" si="30" ref="AF44:AF53">AA44/(Y44*1000)</f>
        <v>#DIV/0!</v>
      </c>
      <c r="AG44" s="36" t="e">
        <f aca="true" t="shared" si="31" ref="AG44:AG53">AC44/W44</f>
        <v>#N/A</v>
      </c>
      <c r="AH44" s="36" t="e">
        <f aca="true" t="shared" si="32" ref="AH44:AH53">AC44/X44</f>
        <v>#N/A</v>
      </c>
      <c r="AI44" s="37" t="e">
        <f aca="true" t="shared" si="33" ref="AI44:AI53">AC44/(Y44*1000)</f>
        <v>#N/A</v>
      </c>
      <c r="AJ44" s="65"/>
      <c r="AK44" s="65"/>
      <c r="AL44" s="65"/>
      <c r="AM44" s="65"/>
      <c r="AN44" s="65"/>
      <c r="AO44" s="65"/>
      <c r="AP44" s="65"/>
      <c r="AQ44" s="65"/>
      <c r="AR44" s="65"/>
      <c r="AS44" s="65"/>
    </row>
    <row r="45" spans="1:45" s="27" customFormat="1" ht="11.25">
      <c r="A45" s="65"/>
      <c r="B45" s="28"/>
      <c r="C45" s="24"/>
      <c r="D45" s="52" t="e">
        <f>C45*(HLOOKUP("Electricity",'Energy Conv Factors'!$A$6:$M$17,'General Info'!$E$7,FALSE))/1000</f>
        <v>#VALUE!</v>
      </c>
      <c r="E45" s="51"/>
      <c r="F45" s="52" t="e">
        <f>C45*(HLOOKUP('General Info'!$C$6,'Electricity factors'!$B$3:$N$26,'General Info'!$D$7,TRUE))/1000</f>
        <v>#N/A</v>
      </c>
      <c r="G45" s="24"/>
      <c r="H45" s="52" t="e">
        <f>G45*(HLOOKUP("Natural gas",'Energy Conv Factors'!$A$6:$M$17,'General Info'!$E$7,FALSE))/1000</f>
        <v>#VALUE!</v>
      </c>
      <c r="I45" s="51"/>
      <c r="J45" s="52" t="e">
        <f>G45*(HLOOKUP('General Info'!$C$6,'Natural gas'!B$1:N$2,2,FALSE))</f>
        <v>#N/A</v>
      </c>
      <c r="K45" s="24"/>
      <c r="L45" s="52">
        <f t="shared" si="12"/>
        <v>0</v>
      </c>
      <c r="M45" s="51"/>
      <c r="N45" s="52">
        <f t="shared" si="0"/>
        <v>0</v>
      </c>
      <c r="O45" s="24"/>
      <c r="P45" s="52" t="e">
        <f>O45*(HLOOKUP("Fuel Oil",'Energy Conv Factors'!$A$6:$M$17,'General Info'!$E$7,FALSE))/1000</f>
        <v>#VALUE!</v>
      </c>
      <c r="Q45" s="51"/>
      <c r="R45" s="52">
        <f t="shared" si="1"/>
        <v>0</v>
      </c>
      <c r="S45" s="24"/>
      <c r="T45" s="52" t="e">
        <f>S45*(HLOOKUP("Diesel",'Energy Conv Factors'!$A$6:$M$17,'General Info'!$E$7,FALSE))/1000</f>
        <v>#VALUE!</v>
      </c>
      <c r="U45" s="51"/>
      <c r="V45" s="52">
        <f t="shared" si="2"/>
        <v>0</v>
      </c>
      <c r="W45" s="53"/>
      <c r="X45" s="53"/>
      <c r="Y45" s="53"/>
      <c r="Z45" s="23">
        <f t="shared" si="13"/>
        <v>0</v>
      </c>
      <c r="AA45" s="51">
        <f t="shared" si="3"/>
        <v>0</v>
      </c>
      <c r="AB45" s="52" t="e">
        <f t="shared" si="4"/>
        <v>#VALUE!</v>
      </c>
      <c r="AC45" s="52" t="e">
        <f t="shared" si="5"/>
        <v>#N/A</v>
      </c>
      <c r="AD45" s="36" t="e">
        <f t="shared" si="28"/>
        <v>#DIV/0!</v>
      </c>
      <c r="AE45" s="36" t="e">
        <f t="shared" si="29"/>
        <v>#DIV/0!</v>
      </c>
      <c r="AF45" s="36" t="e">
        <f t="shared" si="30"/>
        <v>#DIV/0!</v>
      </c>
      <c r="AG45" s="36" t="e">
        <f t="shared" si="31"/>
        <v>#N/A</v>
      </c>
      <c r="AH45" s="36" t="e">
        <f t="shared" si="32"/>
        <v>#N/A</v>
      </c>
      <c r="AI45" s="37" t="e">
        <f t="shared" si="33"/>
        <v>#N/A</v>
      </c>
      <c r="AJ45" s="65"/>
      <c r="AK45" s="65"/>
      <c r="AL45" s="65"/>
      <c r="AM45" s="65"/>
      <c r="AN45" s="65"/>
      <c r="AO45" s="65"/>
      <c r="AP45" s="65"/>
      <c r="AQ45" s="65"/>
      <c r="AR45" s="65"/>
      <c r="AS45" s="65"/>
    </row>
    <row r="46" spans="1:45" s="27" customFormat="1" ht="11.25">
      <c r="A46" s="65"/>
      <c r="B46" s="28"/>
      <c r="C46" s="24"/>
      <c r="D46" s="52" t="e">
        <f>C46*(HLOOKUP("Electricity",'Energy Conv Factors'!$A$6:$M$17,'General Info'!$E$7,FALSE))/1000</f>
        <v>#VALUE!</v>
      </c>
      <c r="E46" s="51"/>
      <c r="F46" s="52" t="e">
        <f>C46*(HLOOKUP('General Info'!$C$6,'Electricity factors'!$B$3:$N$26,'General Info'!$D$7,TRUE))/1000</f>
        <v>#N/A</v>
      </c>
      <c r="G46" s="24"/>
      <c r="H46" s="52" t="e">
        <f>G46*(HLOOKUP("Natural gas",'Energy Conv Factors'!$A$6:$M$17,'General Info'!$E$7,FALSE))/1000</f>
        <v>#VALUE!</v>
      </c>
      <c r="I46" s="51"/>
      <c r="J46" s="52" t="e">
        <f>G46*(HLOOKUP('General Info'!$C$6,'Natural gas'!B$1:N$2,2,FALSE))</f>
        <v>#N/A</v>
      </c>
      <c r="K46" s="24"/>
      <c r="L46" s="52">
        <f t="shared" si="12"/>
        <v>0</v>
      </c>
      <c r="M46" s="51"/>
      <c r="N46" s="52">
        <f t="shared" si="0"/>
        <v>0</v>
      </c>
      <c r="O46" s="24"/>
      <c r="P46" s="52" t="e">
        <f>O46*(HLOOKUP("Fuel Oil",'Energy Conv Factors'!$A$6:$M$17,'General Info'!$E$7,FALSE))/1000</f>
        <v>#VALUE!</v>
      </c>
      <c r="Q46" s="51"/>
      <c r="R46" s="52">
        <f t="shared" si="1"/>
        <v>0</v>
      </c>
      <c r="S46" s="24"/>
      <c r="T46" s="52" t="e">
        <f>S46*(HLOOKUP("Diesel",'Energy Conv Factors'!$A$6:$M$17,'General Info'!$E$7,FALSE))/1000</f>
        <v>#VALUE!</v>
      </c>
      <c r="U46" s="51"/>
      <c r="V46" s="52">
        <f t="shared" si="2"/>
        <v>0</v>
      </c>
      <c r="W46" s="53"/>
      <c r="X46" s="53"/>
      <c r="Y46" s="53"/>
      <c r="Z46" s="23">
        <f t="shared" si="13"/>
        <v>0</v>
      </c>
      <c r="AA46" s="51">
        <f t="shared" si="3"/>
        <v>0</v>
      </c>
      <c r="AB46" s="52" t="e">
        <f t="shared" si="4"/>
        <v>#VALUE!</v>
      </c>
      <c r="AC46" s="52" t="e">
        <f t="shared" si="5"/>
        <v>#N/A</v>
      </c>
      <c r="AD46" s="36" t="e">
        <f t="shared" si="28"/>
        <v>#DIV/0!</v>
      </c>
      <c r="AE46" s="36" t="e">
        <f t="shared" si="29"/>
        <v>#DIV/0!</v>
      </c>
      <c r="AF46" s="36" t="e">
        <f t="shared" si="30"/>
        <v>#DIV/0!</v>
      </c>
      <c r="AG46" s="36" t="e">
        <f t="shared" si="31"/>
        <v>#N/A</v>
      </c>
      <c r="AH46" s="36" t="e">
        <f t="shared" si="32"/>
        <v>#N/A</v>
      </c>
      <c r="AI46" s="37" t="e">
        <f t="shared" si="33"/>
        <v>#N/A</v>
      </c>
      <c r="AJ46" s="65"/>
      <c r="AK46" s="65"/>
      <c r="AL46" s="65"/>
      <c r="AM46" s="65"/>
      <c r="AN46" s="65"/>
      <c r="AO46" s="65"/>
      <c r="AP46" s="65"/>
      <c r="AQ46" s="65"/>
      <c r="AR46" s="65"/>
      <c r="AS46" s="65"/>
    </row>
    <row r="47" spans="1:45" s="27" customFormat="1" ht="11.25">
      <c r="A47" s="65"/>
      <c r="B47" s="28"/>
      <c r="C47" s="24"/>
      <c r="D47" s="52" t="e">
        <f>C47*(HLOOKUP("Electricity",'Energy Conv Factors'!$A$6:$M$17,'General Info'!$E$7,FALSE))/1000</f>
        <v>#VALUE!</v>
      </c>
      <c r="E47" s="51"/>
      <c r="F47" s="52" t="e">
        <f>C47*(HLOOKUP('General Info'!$C$6,'Electricity factors'!$B$3:$N$26,'General Info'!$D$7,TRUE))/1000</f>
        <v>#N/A</v>
      </c>
      <c r="G47" s="24"/>
      <c r="H47" s="52" t="e">
        <f>G47*(HLOOKUP("Natural gas",'Energy Conv Factors'!$A$6:$M$17,'General Info'!$E$7,FALSE))/1000</f>
        <v>#VALUE!</v>
      </c>
      <c r="I47" s="51"/>
      <c r="J47" s="52" t="e">
        <f>G47*(HLOOKUP('General Info'!$C$6,'Natural gas'!B$1:N$2,2,FALSE))</f>
        <v>#N/A</v>
      </c>
      <c r="K47" s="24"/>
      <c r="L47" s="52">
        <f t="shared" si="12"/>
        <v>0</v>
      </c>
      <c r="M47" s="51"/>
      <c r="N47" s="52">
        <f t="shared" si="0"/>
        <v>0</v>
      </c>
      <c r="O47" s="24"/>
      <c r="P47" s="52" t="e">
        <f>O47*(HLOOKUP("Fuel Oil",'Energy Conv Factors'!$A$6:$M$17,'General Info'!$E$7,FALSE))/1000</f>
        <v>#VALUE!</v>
      </c>
      <c r="Q47" s="51"/>
      <c r="R47" s="52">
        <f t="shared" si="1"/>
        <v>0</v>
      </c>
      <c r="S47" s="24"/>
      <c r="T47" s="52" t="e">
        <f>S47*(HLOOKUP("Diesel",'Energy Conv Factors'!$A$6:$M$17,'General Info'!$E$7,FALSE))/1000</f>
        <v>#VALUE!</v>
      </c>
      <c r="U47" s="51"/>
      <c r="V47" s="52">
        <f t="shared" si="2"/>
        <v>0</v>
      </c>
      <c r="W47" s="53"/>
      <c r="X47" s="53"/>
      <c r="Y47" s="53"/>
      <c r="Z47" s="23">
        <f t="shared" si="13"/>
        <v>0</v>
      </c>
      <c r="AA47" s="51">
        <f t="shared" si="3"/>
        <v>0</v>
      </c>
      <c r="AB47" s="52" t="e">
        <f t="shared" si="4"/>
        <v>#VALUE!</v>
      </c>
      <c r="AC47" s="52" t="e">
        <f t="shared" si="5"/>
        <v>#N/A</v>
      </c>
      <c r="AD47" s="36" t="e">
        <f t="shared" si="28"/>
        <v>#DIV/0!</v>
      </c>
      <c r="AE47" s="36" t="e">
        <f t="shared" si="29"/>
        <v>#DIV/0!</v>
      </c>
      <c r="AF47" s="36" t="e">
        <f t="shared" si="30"/>
        <v>#DIV/0!</v>
      </c>
      <c r="AG47" s="36" t="e">
        <f t="shared" si="31"/>
        <v>#N/A</v>
      </c>
      <c r="AH47" s="36" t="e">
        <f t="shared" si="32"/>
        <v>#N/A</v>
      </c>
      <c r="AI47" s="37" t="e">
        <f t="shared" si="33"/>
        <v>#N/A</v>
      </c>
      <c r="AJ47" s="65"/>
      <c r="AK47" s="65"/>
      <c r="AL47" s="65"/>
      <c r="AM47" s="65"/>
      <c r="AN47" s="65"/>
      <c r="AO47" s="65"/>
      <c r="AP47" s="65"/>
      <c r="AQ47" s="65"/>
      <c r="AR47" s="65"/>
      <c r="AS47" s="65"/>
    </row>
    <row r="48" spans="1:45" s="27" customFormat="1" ht="11.25">
      <c r="A48" s="65"/>
      <c r="B48" s="28"/>
      <c r="C48" s="24"/>
      <c r="D48" s="52" t="e">
        <f>C48*(HLOOKUP("Electricity",'Energy Conv Factors'!$A$6:$M$17,'General Info'!$E$7,FALSE))/1000</f>
        <v>#VALUE!</v>
      </c>
      <c r="E48" s="51"/>
      <c r="F48" s="52" t="e">
        <f>C48*(HLOOKUP('General Info'!$C$6,'Electricity factors'!$B$3:$N$26,'General Info'!$D$7,TRUE))/1000</f>
        <v>#N/A</v>
      </c>
      <c r="G48" s="24"/>
      <c r="H48" s="52" t="e">
        <f>G48*(HLOOKUP("Natural gas",'Energy Conv Factors'!$A$6:$M$17,'General Info'!$E$7,FALSE))/1000</f>
        <v>#VALUE!</v>
      </c>
      <c r="I48" s="51"/>
      <c r="J48" s="52" t="e">
        <f>G48*(HLOOKUP('General Info'!$C$6,'Natural gas'!B$1:N$2,2,FALSE))</f>
        <v>#N/A</v>
      </c>
      <c r="K48" s="24"/>
      <c r="L48" s="52">
        <f t="shared" si="12"/>
        <v>0</v>
      </c>
      <c r="M48" s="51"/>
      <c r="N48" s="52">
        <f t="shared" si="0"/>
        <v>0</v>
      </c>
      <c r="O48" s="24"/>
      <c r="P48" s="52" t="e">
        <f>O48*(HLOOKUP("Fuel Oil",'Energy Conv Factors'!$A$6:$M$17,'General Info'!$E$7,FALSE))/1000</f>
        <v>#VALUE!</v>
      </c>
      <c r="Q48" s="51"/>
      <c r="R48" s="52">
        <f t="shared" si="1"/>
        <v>0</v>
      </c>
      <c r="S48" s="24"/>
      <c r="T48" s="52" t="e">
        <f>S48*(HLOOKUP("Diesel",'Energy Conv Factors'!$A$6:$M$17,'General Info'!$E$7,FALSE))/1000</f>
        <v>#VALUE!</v>
      </c>
      <c r="U48" s="51"/>
      <c r="V48" s="52">
        <f t="shared" si="2"/>
        <v>0</v>
      </c>
      <c r="W48" s="53"/>
      <c r="X48" s="53"/>
      <c r="Y48" s="53"/>
      <c r="Z48" s="23">
        <f t="shared" si="13"/>
        <v>0</v>
      </c>
      <c r="AA48" s="51">
        <f t="shared" si="3"/>
        <v>0</v>
      </c>
      <c r="AB48" s="52" t="e">
        <f t="shared" si="4"/>
        <v>#VALUE!</v>
      </c>
      <c r="AC48" s="52" t="e">
        <f t="shared" si="5"/>
        <v>#N/A</v>
      </c>
      <c r="AD48" s="36" t="e">
        <f t="shared" si="28"/>
        <v>#DIV/0!</v>
      </c>
      <c r="AE48" s="36" t="e">
        <f t="shared" si="29"/>
        <v>#DIV/0!</v>
      </c>
      <c r="AF48" s="36" t="e">
        <f t="shared" si="30"/>
        <v>#DIV/0!</v>
      </c>
      <c r="AG48" s="36" t="e">
        <f t="shared" si="31"/>
        <v>#N/A</v>
      </c>
      <c r="AH48" s="36" t="e">
        <f t="shared" si="32"/>
        <v>#N/A</v>
      </c>
      <c r="AI48" s="37" t="e">
        <f t="shared" si="33"/>
        <v>#N/A</v>
      </c>
      <c r="AJ48" s="65"/>
      <c r="AK48" s="65"/>
      <c r="AL48" s="65"/>
      <c r="AM48" s="65"/>
      <c r="AN48" s="65"/>
      <c r="AO48" s="65"/>
      <c r="AP48" s="65"/>
      <c r="AQ48" s="65"/>
      <c r="AR48" s="65"/>
      <c r="AS48" s="65"/>
    </row>
    <row r="49" spans="1:45" s="27" customFormat="1" ht="11.25">
      <c r="A49" s="65"/>
      <c r="B49" s="28"/>
      <c r="C49" s="24"/>
      <c r="D49" s="52" t="e">
        <f>C49*(HLOOKUP("Electricity",'Energy Conv Factors'!$A$6:$M$17,'General Info'!$E$7,FALSE))/1000</f>
        <v>#VALUE!</v>
      </c>
      <c r="E49" s="51"/>
      <c r="F49" s="52" t="e">
        <f>C49*(HLOOKUP('General Info'!$C$6,'Electricity factors'!$B$3:$N$26,'General Info'!$D$7,TRUE))/1000</f>
        <v>#N/A</v>
      </c>
      <c r="G49" s="24"/>
      <c r="H49" s="52" t="e">
        <f>G49*(HLOOKUP("Natural gas",'Energy Conv Factors'!$A$6:$M$17,'General Info'!$E$7,FALSE))/1000</f>
        <v>#VALUE!</v>
      </c>
      <c r="I49" s="51"/>
      <c r="J49" s="52" t="e">
        <f>G49*(HLOOKUP('General Info'!$C$6,'Natural gas'!B$1:N$2,2,FALSE))</f>
        <v>#N/A</v>
      </c>
      <c r="K49" s="24"/>
      <c r="L49" s="52">
        <f t="shared" si="12"/>
        <v>0</v>
      </c>
      <c r="M49" s="51"/>
      <c r="N49" s="52">
        <f t="shared" si="0"/>
        <v>0</v>
      </c>
      <c r="O49" s="24"/>
      <c r="P49" s="52" t="e">
        <f>O49*(HLOOKUP("Fuel Oil",'Energy Conv Factors'!$A$6:$M$17,'General Info'!$E$7,FALSE))/1000</f>
        <v>#VALUE!</v>
      </c>
      <c r="Q49" s="51"/>
      <c r="R49" s="52">
        <f t="shared" si="1"/>
        <v>0</v>
      </c>
      <c r="S49" s="24"/>
      <c r="T49" s="52" t="e">
        <f>S49*(HLOOKUP("Diesel",'Energy Conv Factors'!$A$6:$M$17,'General Info'!$E$7,FALSE))/1000</f>
        <v>#VALUE!</v>
      </c>
      <c r="U49" s="51"/>
      <c r="V49" s="370">
        <f t="shared" si="2"/>
        <v>0</v>
      </c>
      <c r="W49" s="53"/>
      <c r="X49" s="53"/>
      <c r="Y49" s="53"/>
      <c r="Z49" s="23">
        <f t="shared" si="13"/>
        <v>0</v>
      </c>
      <c r="AA49" s="51">
        <f t="shared" si="3"/>
        <v>0</v>
      </c>
      <c r="AB49" s="52" t="e">
        <f t="shared" si="4"/>
        <v>#VALUE!</v>
      </c>
      <c r="AC49" s="52" t="e">
        <f t="shared" si="5"/>
        <v>#N/A</v>
      </c>
      <c r="AD49" s="36" t="e">
        <f t="shared" si="28"/>
        <v>#DIV/0!</v>
      </c>
      <c r="AE49" s="36" t="e">
        <f t="shared" si="29"/>
        <v>#DIV/0!</v>
      </c>
      <c r="AF49" s="36" t="e">
        <f t="shared" si="30"/>
        <v>#DIV/0!</v>
      </c>
      <c r="AG49" s="36" t="e">
        <f t="shared" si="31"/>
        <v>#N/A</v>
      </c>
      <c r="AH49" s="36" t="e">
        <f t="shared" si="32"/>
        <v>#N/A</v>
      </c>
      <c r="AI49" s="37" t="e">
        <f t="shared" si="33"/>
        <v>#N/A</v>
      </c>
      <c r="AJ49" s="65"/>
      <c r="AK49" s="65"/>
      <c r="AL49" s="65"/>
      <c r="AM49" s="65"/>
      <c r="AN49" s="65"/>
      <c r="AO49" s="65"/>
      <c r="AP49" s="65"/>
      <c r="AQ49" s="65"/>
      <c r="AR49" s="65"/>
      <c r="AS49" s="65"/>
    </row>
    <row r="50" spans="1:45" s="27" customFormat="1" ht="11.25">
      <c r="A50" s="65"/>
      <c r="B50" s="28"/>
      <c r="C50" s="24"/>
      <c r="D50" s="52" t="e">
        <f>C50*(HLOOKUP("Electricity",'Energy Conv Factors'!$A$6:$M$17,'General Info'!$E$7,FALSE))/1000</f>
        <v>#VALUE!</v>
      </c>
      <c r="E50" s="51"/>
      <c r="F50" s="52" t="e">
        <f>C50*(HLOOKUP('General Info'!$C$6,'Electricity factors'!$B$3:$N$26,'General Info'!$D$7,TRUE))/1000</f>
        <v>#N/A</v>
      </c>
      <c r="G50" s="24"/>
      <c r="H50" s="52" t="e">
        <f>G50*(HLOOKUP("Natural gas",'Energy Conv Factors'!$A$6:$M$17,'General Info'!$E$7,FALSE))/1000</f>
        <v>#VALUE!</v>
      </c>
      <c r="I50" s="51"/>
      <c r="J50" s="52" t="e">
        <f>G50*(HLOOKUP('General Info'!$C$6,'Natural gas'!B$1:N$2,2,FALSE))</f>
        <v>#N/A</v>
      </c>
      <c r="K50" s="24"/>
      <c r="L50" s="52">
        <f t="shared" si="12"/>
        <v>0</v>
      </c>
      <c r="M50" s="51"/>
      <c r="N50" s="52">
        <f t="shared" si="0"/>
        <v>0</v>
      </c>
      <c r="O50" s="24"/>
      <c r="P50" s="52" t="e">
        <f>O50*(HLOOKUP("Fuel Oil",'Energy Conv Factors'!$A$6:$M$17,'General Info'!$E$7,FALSE))/1000</f>
        <v>#VALUE!</v>
      </c>
      <c r="Q50" s="51"/>
      <c r="R50" s="52">
        <f t="shared" si="1"/>
        <v>0</v>
      </c>
      <c r="S50" s="24"/>
      <c r="T50" s="52" t="e">
        <f>S50*(HLOOKUP("Diesel",'Energy Conv Factors'!$A$6:$M$17,'General Info'!$E$7,FALSE))/1000</f>
        <v>#VALUE!</v>
      </c>
      <c r="U50" s="51"/>
      <c r="V50" s="52">
        <f t="shared" si="2"/>
        <v>0</v>
      </c>
      <c r="W50" s="53"/>
      <c r="X50" s="53"/>
      <c r="Y50" s="53"/>
      <c r="Z50" s="23">
        <f t="shared" si="13"/>
        <v>0</v>
      </c>
      <c r="AA50" s="51">
        <f t="shared" si="3"/>
        <v>0</v>
      </c>
      <c r="AB50" s="52" t="e">
        <f t="shared" si="4"/>
        <v>#VALUE!</v>
      </c>
      <c r="AC50" s="52" t="e">
        <f t="shared" si="5"/>
        <v>#N/A</v>
      </c>
      <c r="AD50" s="36" t="e">
        <f t="shared" si="28"/>
        <v>#DIV/0!</v>
      </c>
      <c r="AE50" s="36" t="e">
        <f t="shared" si="29"/>
        <v>#DIV/0!</v>
      </c>
      <c r="AF50" s="36" t="e">
        <f t="shared" si="30"/>
        <v>#DIV/0!</v>
      </c>
      <c r="AG50" s="36" t="e">
        <f t="shared" si="31"/>
        <v>#N/A</v>
      </c>
      <c r="AH50" s="36" t="e">
        <f t="shared" si="32"/>
        <v>#N/A</v>
      </c>
      <c r="AI50" s="37" t="e">
        <f t="shared" si="33"/>
        <v>#N/A</v>
      </c>
      <c r="AJ50" s="65"/>
      <c r="AK50" s="65"/>
      <c r="AL50" s="65"/>
      <c r="AM50" s="65"/>
      <c r="AN50" s="65"/>
      <c r="AO50" s="65"/>
      <c r="AP50" s="65"/>
      <c r="AQ50" s="65"/>
      <c r="AR50" s="65"/>
      <c r="AS50" s="65"/>
    </row>
    <row r="51" spans="1:45" s="27" customFormat="1" ht="11.25">
      <c r="A51" s="65"/>
      <c r="B51" s="28"/>
      <c r="C51" s="24"/>
      <c r="D51" s="52" t="e">
        <f>C51*(HLOOKUP("Electricity",'Energy Conv Factors'!$A$6:$M$17,'General Info'!$E$7,FALSE))/1000</f>
        <v>#VALUE!</v>
      </c>
      <c r="E51" s="51"/>
      <c r="F51" s="52" t="e">
        <f>C51*(HLOOKUP('General Info'!$C$6,'Electricity factors'!$B$3:$N$26,'General Info'!$D$7,TRUE))/1000</f>
        <v>#N/A</v>
      </c>
      <c r="G51" s="24"/>
      <c r="H51" s="52" t="e">
        <f>G51*(HLOOKUP("Natural gas",'Energy Conv Factors'!$A$6:$M$17,'General Info'!$E$7,FALSE))/1000</f>
        <v>#VALUE!</v>
      </c>
      <c r="I51" s="51"/>
      <c r="J51" s="52" t="e">
        <f>G51*(HLOOKUP('General Info'!$C$6,'Natural gas'!B$1:N$2,2,FALSE))</f>
        <v>#N/A</v>
      </c>
      <c r="K51" s="24"/>
      <c r="L51" s="52">
        <f t="shared" si="12"/>
        <v>0</v>
      </c>
      <c r="M51" s="51"/>
      <c r="N51" s="52">
        <f t="shared" si="0"/>
        <v>0</v>
      </c>
      <c r="O51" s="24"/>
      <c r="P51" s="52" t="e">
        <f>O51*(HLOOKUP("Fuel Oil",'Energy Conv Factors'!$A$6:$M$17,'General Info'!$E$7,FALSE))/1000</f>
        <v>#VALUE!</v>
      </c>
      <c r="Q51" s="51"/>
      <c r="R51" s="52">
        <f t="shared" si="1"/>
        <v>0</v>
      </c>
      <c r="S51" s="24"/>
      <c r="T51" s="52" t="e">
        <f>S51*(HLOOKUP("Diesel",'Energy Conv Factors'!$A$6:$M$17,'General Info'!$E$7,FALSE))/1000</f>
        <v>#VALUE!</v>
      </c>
      <c r="U51" s="51"/>
      <c r="V51" s="52">
        <f t="shared" si="2"/>
        <v>0</v>
      </c>
      <c r="W51" s="53"/>
      <c r="X51" s="53"/>
      <c r="Y51" s="53"/>
      <c r="Z51" s="23">
        <f t="shared" si="13"/>
        <v>0</v>
      </c>
      <c r="AA51" s="51">
        <f t="shared" si="3"/>
        <v>0</v>
      </c>
      <c r="AB51" s="52" t="e">
        <f t="shared" si="4"/>
        <v>#VALUE!</v>
      </c>
      <c r="AC51" s="52" t="e">
        <f t="shared" si="5"/>
        <v>#N/A</v>
      </c>
      <c r="AD51" s="36" t="e">
        <f t="shared" si="28"/>
        <v>#DIV/0!</v>
      </c>
      <c r="AE51" s="36" t="e">
        <f t="shared" si="29"/>
        <v>#DIV/0!</v>
      </c>
      <c r="AF51" s="36" t="e">
        <f t="shared" si="30"/>
        <v>#DIV/0!</v>
      </c>
      <c r="AG51" s="36" t="e">
        <f t="shared" si="31"/>
        <v>#N/A</v>
      </c>
      <c r="AH51" s="36" t="e">
        <f t="shared" si="32"/>
        <v>#N/A</v>
      </c>
      <c r="AI51" s="37" t="e">
        <f t="shared" si="33"/>
        <v>#N/A</v>
      </c>
      <c r="AJ51" s="65"/>
      <c r="AK51" s="65"/>
      <c r="AL51" s="65"/>
      <c r="AM51" s="65"/>
      <c r="AN51" s="65"/>
      <c r="AO51" s="65"/>
      <c r="AP51" s="65"/>
      <c r="AQ51" s="65"/>
      <c r="AR51" s="65"/>
      <c r="AS51" s="65"/>
    </row>
    <row r="52" spans="1:45" s="27" customFormat="1" ht="11.25">
      <c r="A52" s="65"/>
      <c r="B52" s="28"/>
      <c r="C52" s="24"/>
      <c r="D52" s="52" t="e">
        <f>C52*(HLOOKUP("Electricity",'Energy Conv Factors'!$A$6:$M$17,'General Info'!$E$7,FALSE))/1000</f>
        <v>#VALUE!</v>
      </c>
      <c r="E52" s="51"/>
      <c r="F52" s="52" t="e">
        <f>C52*(HLOOKUP('General Info'!$C$6,'Electricity factors'!$B$3:$N$26,'General Info'!$D$7,TRUE))/1000</f>
        <v>#N/A</v>
      </c>
      <c r="G52" s="24"/>
      <c r="H52" s="52" t="e">
        <f>G52*(HLOOKUP("Natural gas",'Energy Conv Factors'!$A$6:$M$17,'General Info'!$E$7,FALSE))/1000</f>
        <v>#VALUE!</v>
      </c>
      <c r="I52" s="51"/>
      <c r="J52" s="52" t="e">
        <f>G52*(HLOOKUP('General Info'!$C$6,'Natural gas'!B$1:N$2,2,FALSE))</f>
        <v>#N/A</v>
      </c>
      <c r="K52" s="24"/>
      <c r="L52" s="52">
        <f t="shared" si="12"/>
        <v>0</v>
      </c>
      <c r="M52" s="51"/>
      <c r="N52" s="52">
        <f t="shared" si="0"/>
        <v>0</v>
      </c>
      <c r="O52" s="24"/>
      <c r="P52" s="52" t="e">
        <f>O52*(HLOOKUP("Fuel Oil",'Energy Conv Factors'!$A$6:$M$17,'General Info'!$E$7,FALSE))/1000</f>
        <v>#VALUE!</v>
      </c>
      <c r="Q52" s="51"/>
      <c r="R52" s="52">
        <f t="shared" si="1"/>
        <v>0</v>
      </c>
      <c r="S52" s="24"/>
      <c r="T52" s="52" t="e">
        <f>S52*(HLOOKUP("Diesel",'Energy Conv Factors'!$A$6:$M$17,'General Info'!$E$7,FALSE))/1000</f>
        <v>#VALUE!</v>
      </c>
      <c r="U52" s="51"/>
      <c r="V52" s="52">
        <f t="shared" si="2"/>
        <v>0</v>
      </c>
      <c r="W52" s="53"/>
      <c r="X52" s="53"/>
      <c r="Y52" s="53"/>
      <c r="Z52" s="23">
        <f t="shared" si="13"/>
        <v>0</v>
      </c>
      <c r="AA52" s="51">
        <f t="shared" si="3"/>
        <v>0</v>
      </c>
      <c r="AB52" s="52" t="e">
        <f t="shared" si="4"/>
        <v>#VALUE!</v>
      </c>
      <c r="AC52" s="52" t="e">
        <f t="shared" si="5"/>
        <v>#N/A</v>
      </c>
      <c r="AD52" s="36" t="e">
        <f t="shared" si="28"/>
        <v>#DIV/0!</v>
      </c>
      <c r="AE52" s="36" t="e">
        <f t="shared" si="29"/>
        <v>#DIV/0!</v>
      </c>
      <c r="AF52" s="36" t="e">
        <f t="shared" si="30"/>
        <v>#DIV/0!</v>
      </c>
      <c r="AG52" s="36" t="e">
        <f t="shared" si="31"/>
        <v>#N/A</v>
      </c>
      <c r="AH52" s="36" t="e">
        <f t="shared" si="32"/>
        <v>#N/A</v>
      </c>
      <c r="AI52" s="37" t="e">
        <f t="shared" si="33"/>
        <v>#N/A</v>
      </c>
      <c r="AJ52" s="65"/>
      <c r="AK52" s="65"/>
      <c r="AL52" s="65"/>
      <c r="AM52" s="65"/>
      <c r="AN52" s="65"/>
      <c r="AO52" s="65"/>
      <c r="AP52" s="65"/>
      <c r="AQ52" s="65"/>
      <c r="AR52" s="65"/>
      <c r="AS52" s="65"/>
    </row>
    <row r="53" spans="1:45" s="27" customFormat="1" ht="11.25">
      <c r="A53" s="65"/>
      <c r="B53" s="28"/>
      <c r="C53" s="24"/>
      <c r="D53" s="52" t="e">
        <f>C53*(HLOOKUP("Electricity",'Energy Conv Factors'!$A$6:$M$17,'General Info'!$E$7,FALSE))/1000</f>
        <v>#VALUE!</v>
      </c>
      <c r="E53" s="51"/>
      <c r="F53" s="52" t="e">
        <f>C53*(HLOOKUP('General Info'!$C$6,'Electricity factors'!$B$3:$N$26,'General Info'!$D$7,TRUE))/1000</f>
        <v>#N/A</v>
      </c>
      <c r="G53" s="24"/>
      <c r="H53" s="52" t="e">
        <f>G53*(HLOOKUP("Natural gas",'Energy Conv Factors'!$A$6:$M$17,'General Info'!$E$7,FALSE))/1000</f>
        <v>#VALUE!</v>
      </c>
      <c r="I53" s="51"/>
      <c r="J53" s="52" t="e">
        <f>G53*(HLOOKUP('General Info'!$C$6,'Natural gas'!B$1:N$2,2,FALSE))</f>
        <v>#N/A</v>
      </c>
      <c r="K53" s="24"/>
      <c r="L53" s="52">
        <f t="shared" si="12"/>
        <v>0</v>
      </c>
      <c r="M53" s="51"/>
      <c r="N53" s="52">
        <f t="shared" si="0"/>
        <v>0</v>
      </c>
      <c r="O53" s="24"/>
      <c r="P53" s="52" t="e">
        <f>O53*(HLOOKUP("Fuel Oil",'Energy Conv Factors'!$A$6:$M$17,'General Info'!$E$7,FALSE))/1000</f>
        <v>#VALUE!</v>
      </c>
      <c r="Q53" s="51"/>
      <c r="R53" s="52">
        <f t="shared" si="1"/>
        <v>0</v>
      </c>
      <c r="S53" s="24"/>
      <c r="T53" s="52" t="e">
        <f>S53*(HLOOKUP("Diesel",'Energy Conv Factors'!$A$6:$M$17,'General Info'!$E$7,FALSE))/1000</f>
        <v>#VALUE!</v>
      </c>
      <c r="U53" s="51"/>
      <c r="V53" s="52">
        <f t="shared" si="2"/>
        <v>0</v>
      </c>
      <c r="W53" s="53"/>
      <c r="X53" s="53"/>
      <c r="Y53" s="53"/>
      <c r="Z53" s="23">
        <f t="shared" si="13"/>
        <v>0</v>
      </c>
      <c r="AA53" s="51">
        <f t="shared" si="3"/>
        <v>0</v>
      </c>
      <c r="AB53" s="52" t="e">
        <f t="shared" si="4"/>
        <v>#VALUE!</v>
      </c>
      <c r="AC53" s="52" t="e">
        <f t="shared" si="5"/>
        <v>#N/A</v>
      </c>
      <c r="AD53" s="36" t="e">
        <f t="shared" si="28"/>
        <v>#DIV/0!</v>
      </c>
      <c r="AE53" s="36" t="e">
        <f t="shared" si="29"/>
        <v>#DIV/0!</v>
      </c>
      <c r="AF53" s="36" t="e">
        <f t="shared" si="30"/>
        <v>#DIV/0!</v>
      </c>
      <c r="AG53" s="36" t="e">
        <f t="shared" si="31"/>
        <v>#N/A</v>
      </c>
      <c r="AH53" s="36" t="e">
        <f t="shared" si="32"/>
        <v>#N/A</v>
      </c>
      <c r="AI53" s="37" t="e">
        <f t="shared" si="33"/>
        <v>#N/A</v>
      </c>
      <c r="AJ53" s="65"/>
      <c r="AK53" s="65"/>
      <c r="AL53" s="65"/>
      <c r="AM53" s="65"/>
      <c r="AN53" s="65"/>
      <c r="AO53" s="65"/>
      <c r="AP53" s="65"/>
      <c r="AQ53" s="65"/>
      <c r="AR53" s="65"/>
      <c r="AS53" s="65"/>
    </row>
    <row r="54" spans="1:45" s="14" customFormat="1" ht="12.75" thickBot="1">
      <c r="A54" s="63"/>
      <c r="B54" s="19" t="s">
        <v>62</v>
      </c>
      <c r="C54" s="20">
        <f aca="true" t="shared" si="34" ref="C54:I54">SUM(C10:C53)</f>
        <v>0</v>
      </c>
      <c r="D54" s="20" t="e">
        <f t="shared" si="34"/>
        <v>#VALUE!</v>
      </c>
      <c r="E54" s="21">
        <f t="shared" si="34"/>
        <v>0</v>
      </c>
      <c r="F54" s="21" t="e">
        <f t="shared" si="34"/>
        <v>#N/A</v>
      </c>
      <c r="G54" s="21">
        <f t="shared" si="34"/>
        <v>0</v>
      </c>
      <c r="H54" s="21" t="e">
        <f t="shared" si="34"/>
        <v>#VALUE!</v>
      </c>
      <c r="I54" s="21">
        <f t="shared" si="34"/>
        <v>0</v>
      </c>
      <c r="J54" s="21" t="e">
        <f aca="true" t="shared" si="35" ref="J54:U54">SUM(J10:J53)</f>
        <v>#N/A</v>
      </c>
      <c r="K54" s="21">
        <f t="shared" si="35"/>
        <v>0</v>
      </c>
      <c r="L54" s="21">
        <f t="shared" si="35"/>
        <v>0</v>
      </c>
      <c r="M54" s="21">
        <f t="shared" si="35"/>
        <v>0</v>
      </c>
      <c r="N54" s="21">
        <f t="shared" si="35"/>
        <v>0</v>
      </c>
      <c r="O54" s="21">
        <f t="shared" si="35"/>
        <v>0</v>
      </c>
      <c r="P54" s="21" t="e">
        <f t="shared" si="35"/>
        <v>#VALUE!</v>
      </c>
      <c r="Q54" s="21">
        <f t="shared" si="35"/>
        <v>0</v>
      </c>
      <c r="R54" s="21">
        <f t="shared" si="35"/>
        <v>0</v>
      </c>
      <c r="S54" s="21">
        <f t="shared" si="35"/>
        <v>0</v>
      </c>
      <c r="T54" s="21" t="e">
        <f t="shared" si="35"/>
        <v>#VALUE!</v>
      </c>
      <c r="U54" s="21">
        <f t="shared" si="35"/>
        <v>0</v>
      </c>
      <c r="V54" s="21">
        <f>SUM(V10:V53)</f>
        <v>0</v>
      </c>
      <c r="W54" s="22">
        <f>SUM(W10:W53)</f>
        <v>0</v>
      </c>
      <c r="X54" s="22">
        <f>SUM(X10:X53)</f>
        <v>0</v>
      </c>
      <c r="Y54" s="22">
        <f>SUM(Y10:Y53)</f>
        <v>0</v>
      </c>
      <c r="Z54" s="19" t="s">
        <v>62</v>
      </c>
      <c r="AA54" s="22">
        <f>SUM(AA10:AA53)</f>
        <v>0</v>
      </c>
      <c r="AB54" s="22" t="e">
        <f>SUM(AB10:AB53)</f>
        <v>#VALUE!</v>
      </c>
      <c r="AC54" s="121" t="e">
        <f>SUM(AC10:AC53)</f>
        <v>#N/A</v>
      </c>
      <c r="AD54" s="38" t="e">
        <f t="shared" si="28"/>
        <v>#DIV/0!</v>
      </c>
      <c r="AE54" s="38" t="e">
        <f>AA54/X54</f>
        <v>#DIV/0!</v>
      </c>
      <c r="AF54" s="38" t="e">
        <f>AA54/(Y54*1000)</f>
        <v>#DIV/0!</v>
      </c>
      <c r="AG54" s="38" t="e">
        <f>AC54/W54</f>
        <v>#N/A</v>
      </c>
      <c r="AH54" s="38" t="e">
        <f>AC54/X54</f>
        <v>#N/A</v>
      </c>
      <c r="AI54" s="39" t="e">
        <f>AC54/(Y54*1000)</f>
        <v>#N/A</v>
      </c>
      <c r="AJ54" s="63"/>
      <c r="AK54" s="63"/>
      <c r="AL54" s="63"/>
      <c r="AM54" s="63"/>
      <c r="AN54" s="63"/>
      <c r="AO54" s="63"/>
      <c r="AP54" s="63"/>
      <c r="AQ54" s="63"/>
      <c r="AR54" s="63"/>
      <c r="AS54" s="63"/>
    </row>
    <row r="55" spans="1:45" ht="12.75">
      <c r="A55" s="58"/>
      <c r="B55" s="58"/>
      <c r="C55" s="66"/>
      <c r="D55" s="66"/>
      <c r="E55" s="66"/>
      <c r="F55" s="66"/>
      <c r="G55" s="66"/>
      <c r="H55" s="66"/>
      <c r="I55" s="66"/>
      <c r="J55" s="66"/>
      <c r="K55" s="66"/>
      <c r="L55" s="66"/>
      <c r="M55" s="66"/>
      <c r="N55" s="66"/>
      <c r="O55" s="66"/>
      <c r="P55" s="66"/>
      <c r="Q55" s="66"/>
      <c r="R55" s="66"/>
      <c r="S55" s="66"/>
      <c r="T55" s="66"/>
      <c r="U55" s="66"/>
      <c r="V55" s="66"/>
      <c r="W55" s="58"/>
      <c r="X55" s="58"/>
      <c r="Y55" s="58"/>
      <c r="Z55" s="58"/>
      <c r="AA55" s="58"/>
      <c r="AB55" s="58"/>
      <c r="AC55" s="58"/>
      <c r="AD55" s="67"/>
      <c r="AE55" s="67"/>
      <c r="AF55" s="67"/>
      <c r="AG55" s="67"/>
      <c r="AH55" s="67"/>
      <c r="AI55" s="67"/>
      <c r="AJ55" s="58"/>
      <c r="AK55" s="58"/>
      <c r="AL55" s="58"/>
      <c r="AM55" s="58"/>
      <c r="AN55" s="58"/>
      <c r="AO55" s="58"/>
      <c r="AP55" s="58"/>
      <c r="AQ55" s="58"/>
      <c r="AR55" s="58"/>
      <c r="AS55" s="58"/>
    </row>
    <row r="56" spans="1:45" ht="12.75">
      <c r="A56" s="58"/>
      <c r="B56" s="58"/>
      <c r="C56" s="66"/>
      <c r="D56" s="66"/>
      <c r="E56" s="66"/>
      <c r="F56" s="66"/>
      <c r="G56" s="66"/>
      <c r="H56" s="66"/>
      <c r="I56" s="66"/>
      <c r="J56" s="66"/>
      <c r="K56" s="66"/>
      <c r="L56" s="66"/>
      <c r="M56" s="66"/>
      <c r="N56" s="66"/>
      <c r="O56" s="66"/>
      <c r="P56" s="66"/>
      <c r="Q56" s="66"/>
      <c r="R56" s="66"/>
      <c r="S56" s="66"/>
      <c r="T56" s="66"/>
      <c r="U56" s="66"/>
      <c r="V56" s="66"/>
      <c r="W56" s="58"/>
      <c r="X56" s="58"/>
      <c r="Y56" s="58"/>
      <c r="Z56" s="58"/>
      <c r="AA56" s="58"/>
      <c r="AB56" s="58"/>
      <c r="AC56" s="58"/>
      <c r="AD56" s="67"/>
      <c r="AE56" s="67"/>
      <c r="AF56" s="67"/>
      <c r="AG56" s="67"/>
      <c r="AH56" s="67"/>
      <c r="AI56" s="67"/>
      <c r="AJ56" s="58"/>
      <c r="AK56" s="58"/>
      <c r="AL56" s="58"/>
      <c r="AM56" s="58"/>
      <c r="AN56" s="58"/>
      <c r="AO56" s="58"/>
      <c r="AP56" s="58"/>
      <c r="AQ56" s="58"/>
      <c r="AR56" s="58"/>
      <c r="AS56" s="58"/>
    </row>
    <row r="57" spans="1:45" ht="12.75">
      <c r="A57" s="58"/>
      <c r="B57" s="58"/>
      <c r="C57" s="66"/>
      <c r="D57" s="66"/>
      <c r="E57" s="66"/>
      <c r="F57" s="66"/>
      <c r="G57" s="66"/>
      <c r="H57" s="66"/>
      <c r="I57" s="66"/>
      <c r="J57" s="66"/>
      <c r="K57" s="66"/>
      <c r="L57" s="66"/>
      <c r="M57" s="66"/>
      <c r="N57" s="66"/>
      <c r="O57" s="66"/>
      <c r="P57" s="66"/>
      <c r="Q57" s="66"/>
      <c r="R57" s="66"/>
      <c r="S57" s="66"/>
      <c r="T57" s="66"/>
      <c r="U57" s="66"/>
      <c r="V57" s="66"/>
      <c r="W57" s="58"/>
      <c r="X57" s="58"/>
      <c r="Y57" s="58"/>
      <c r="Z57" s="58"/>
      <c r="AA57" s="58"/>
      <c r="AB57" s="58"/>
      <c r="AC57" s="58"/>
      <c r="AD57" s="67"/>
      <c r="AE57" s="67"/>
      <c r="AF57" s="67"/>
      <c r="AG57" s="67"/>
      <c r="AH57" s="67"/>
      <c r="AI57" s="67"/>
      <c r="AJ57" s="58"/>
      <c r="AK57" s="58"/>
      <c r="AL57" s="58"/>
      <c r="AM57" s="58"/>
      <c r="AN57" s="58"/>
      <c r="AO57" s="58"/>
      <c r="AP57" s="58"/>
      <c r="AQ57" s="58"/>
      <c r="AR57" s="58"/>
      <c r="AS57" s="58"/>
    </row>
    <row r="58" spans="1:45" ht="12.75">
      <c r="A58" s="58"/>
      <c r="B58" s="58"/>
      <c r="C58" s="66"/>
      <c r="D58" s="66"/>
      <c r="E58" s="66"/>
      <c r="F58" s="66"/>
      <c r="G58" s="66"/>
      <c r="H58" s="66"/>
      <c r="I58" s="66"/>
      <c r="J58" s="66"/>
      <c r="K58" s="66"/>
      <c r="L58" s="66"/>
      <c r="M58" s="66"/>
      <c r="N58" s="66"/>
      <c r="O58" s="66"/>
      <c r="P58" s="66"/>
      <c r="Q58" s="66"/>
      <c r="R58" s="66"/>
      <c r="S58" s="66"/>
      <c r="T58" s="66"/>
      <c r="U58" s="66"/>
      <c r="V58" s="66"/>
      <c r="W58" s="58"/>
      <c r="X58" s="58"/>
      <c r="Y58" s="58"/>
      <c r="Z58" s="58"/>
      <c r="AA58" s="58"/>
      <c r="AB58" s="58"/>
      <c r="AC58" s="58"/>
      <c r="AD58" s="67"/>
      <c r="AE58" s="67"/>
      <c r="AF58" s="67"/>
      <c r="AG58" s="67"/>
      <c r="AH58" s="67"/>
      <c r="AI58" s="67"/>
      <c r="AJ58" s="58"/>
      <c r="AK58" s="58"/>
      <c r="AL58" s="58"/>
      <c r="AM58" s="58"/>
      <c r="AN58" s="58"/>
      <c r="AO58" s="58"/>
      <c r="AP58" s="58"/>
      <c r="AQ58" s="58"/>
      <c r="AR58" s="58"/>
      <c r="AS58" s="58"/>
    </row>
    <row r="59" spans="1:45" ht="12.75">
      <c r="A59" s="58"/>
      <c r="B59" s="58"/>
      <c r="C59" s="66"/>
      <c r="D59" s="66"/>
      <c r="E59" s="66"/>
      <c r="F59" s="66"/>
      <c r="G59" s="66"/>
      <c r="H59" s="66"/>
      <c r="I59" s="66"/>
      <c r="J59" s="66"/>
      <c r="K59" s="66"/>
      <c r="L59" s="66"/>
      <c r="M59" s="66"/>
      <c r="N59" s="66"/>
      <c r="O59" s="66"/>
      <c r="P59" s="66"/>
      <c r="Q59" s="66"/>
      <c r="R59" s="66"/>
      <c r="S59" s="66"/>
      <c r="T59" s="66"/>
      <c r="U59" s="66"/>
      <c r="V59" s="66"/>
      <c r="W59" s="58"/>
      <c r="X59" s="58"/>
      <c r="Y59" s="58"/>
      <c r="Z59" s="58"/>
      <c r="AA59" s="58"/>
      <c r="AB59" s="58"/>
      <c r="AC59" s="58"/>
      <c r="AD59" s="67"/>
      <c r="AE59" s="67"/>
      <c r="AF59" s="67"/>
      <c r="AG59" s="67"/>
      <c r="AH59" s="67"/>
      <c r="AI59" s="67"/>
      <c r="AJ59" s="58"/>
      <c r="AK59" s="58"/>
      <c r="AL59" s="58"/>
      <c r="AM59" s="58"/>
      <c r="AN59" s="58"/>
      <c r="AO59" s="58"/>
      <c r="AP59" s="58"/>
      <c r="AQ59" s="58"/>
      <c r="AR59" s="58"/>
      <c r="AS59" s="58"/>
    </row>
    <row r="60" spans="1:45" ht="12.75">
      <c r="A60" s="58"/>
      <c r="B60" s="58"/>
      <c r="C60" s="66"/>
      <c r="D60" s="66"/>
      <c r="E60" s="66"/>
      <c r="F60" s="66"/>
      <c r="G60" s="66"/>
      <c r="H60" s="66"/>
      <c r="I60" s="66"/>
      <c r="J60" s="66"/>
      <c r="K60" s="66"/>
      <c r="L60" s="66"/>
      <c r="M60" s="66"/>
      <c r="N60" s="66"/>
      <c r="O60" s="66"/>
      <c r="P60" s="66"/>
      <c r="Q60" s="66"/>
      <c r="R60" s="66"/>
      <c r="S60" s="66"/>
      <c r="T60" s="66"/>
      <c r="U60" s="66"/>
      <c r="V60" s="66"/>
      <c r="W60" s="58"/>
      <c r="X60" s="58"/>
      <c r="Y60" s="58"/>
      <c r="Z60" s="58"/>
      <c r="AA60" s="58"/>
      <c r="AB60" s="58"/>
      <c r="AC60" s="58"/>
      <c r="AD60" s="67"/>
      <c r="AE60" s="67"/>
      <c r="AF60" s="67"/>
      <c r="AG60" s="67"/>
      <c r="AH60" s="67"/>
      <c r="AI60" s="67"/>
      <c r="AJ60" s="58"/>
      <c r="AK60" s="58"/>
      <c r="AL60" s="58"/>
      <c r="AM60" s="58"/>
      <c r="AN60" s="58"/>
      <c r="AO60" s="58"/>
      <c r="AP60" s="58"/>
      <c r="AQ60" s="58"/>
      <c r="AR60" s="58"/>
      <c r="AS60" s="58"/>
    </row>
    <row r="61" spans="1:45" ht="12.75">
      <c r="A61" s="58"/>
      <c r="B61" s="58"/>
      <c r="C61" s="66"/>
      <c r="D61" s="66"/>
      <c r="E61" s="66"/>
      <c r="F61" s="66"/>
      <c r="G61" s="66"/>
      <c r="H61" s="66"/>
      <c r="I61" s="66"/>
      <c r="J61" s="66"/>
      <c r="K61" s="66"/>
      <c r="L61" s="66"/>
      <c r="M61" s="66"/>
      <c r="N61" s="66"/>
      <c r="O61" s="66"/>
      <c r="P61" s="66"/>
      <c r="Q61" s="66"/>
      <c r="R61" s="66"/>
      <c r="S61" s="66"/>
      <c r="T61" s="66"/>
      <c r="U61" s="66"/>
      <c r="V61" s="66"/>
      <c r="W61" s="58"/>
      <c r="X61" s="58"/>
      <c r="Y61" s="58"/>
      <c r="Z61" s="58"/>
      <c r="AA61" s="58"/>
      <c r="AB61" s="58"/>
      <c r="AC61" s="58"/>
      <c r="AD61" s="67"/>
      <c r="AE61" s="67"/>
      <c r="AF61" s="67"/>
      <c r="AG61" s="67"/>
      <c r="AH61" s="67"/>
      <c r="AI61" s="67"/>
      <c r="AJ61" s="58"/>
      <c r="AK61" s="58"/>
      <c r="AL61" s="58"/>
      <c r="AM61" s="58"/>
      <c r="AN61" s="58"/>
      <c r="AO61" s="58"/>
      <c r="AP61" s="58"/>
      <c r="AQ61" s="58"/>
      <c r="AR61" s="58"/>
      <c r="AS61" s="58"/>
    </row>
    <row r="62" spans="1:45" ht="12.75">
      <c r="A62" s="58"/>
      <c r="B62" s="58"/>
      <c r="C62" s="66"/>
      <c r="D62" s="66"/>
      <c r="E62" s="66"/>
      <c r="F62" s="66"/>
      <c r="G62" s="66"/>
      <c r="H62" s="66"/>
      <c r="I62" s="66"/>
      <c r="J62" s="66"/>
      <c r="K62" s="66"/>
      <c r="L62" s="66"/>
      <c r="M62" s="66"/>
      <c r="N62" s="66"/>
      <c r="O62" s="66"/>
      <c r="P62" s="66"/>
      <c r="Q62" s="66"/>
      <c r="R62" s="66"/>
      <c r="S62" s="66"/>
      <c r="T62" s="66"/>
      <c r="U62" s="66"/>
      <c r="V62" s="66"/>
      <c r="W62" s="58"/>
      <c r="X62" s="58"/>
      <c r="Y62" s="58"/>
      <c r="Z62" s="58"/>
      <c r="AA62" s="58"/>
      <c r="AB62" s="58"/>
      <c r="AC62" s="58"/>
      <c r="AD62" s="67"/>
      <c r="AE62" s="67"/>
      <c r="AF62" s="67"/>
      <c r="AG62" s="67"/>
      <c r="AH62" s="67"/>
      <c r="AI62" s="67"/>
      <c r="AJ62" s="58"/>
      <c r="AK62" s="58"/>
      <c r="AL62" s="58"/>
      <c r="AM62" s="58"/>
      <c r="AN62" s="58"/>
      <c r="AO62" s="58"/>
      <c r="AP62" s="58"/>
      <c r="AQ62" s="58"/>
      <c r="AR62" s="58"/>
      <c r="AS62" s="58"/>
    </row>
    <row r="63" spans="1:45" ht="12.75">
      <c r="A63" s="58"/>
      <c r="B63" s="58"/>
      <c r="C63" s="66"/>
      <c r="D63" s="66"/>
      <c r="E63" s="66"/>
      <c r="F63" s="66"/>
      <c r="G63" s="66"/>
      <c r="H63" s="66"/>
      <c r="I63" s="66"/>
      <c r="J63" s="66"/>
      <c r="K63" s="66"/>
      <c r="L63" s="66"/>
      <c r="M63" s="66"/>
      <c r="N63" s="66"/>
      <c r="O63" s="66"/>
      <c r="P63" s="66"/>
      <c r="Q63" s="66"/>
      <c r="R63" s="66"/>
      <c r="S63" s="66"/>
      <c r="T63" s="66"/>
      <c r="U63" s="66"/>
      <c r="V63" s="66"/>
      <c r="W63" s="58"/>
      <c r="X63" s="58"/>
      <c r="Y63" s="58"/>
      <c r="Z63" s="58"/>
      <c r="AA63" s="58"/>
      <c r="AB63" s="58"/>
      <c r="AC63" s="58"/>
      <c r="AD63" s="67"/>
      <c r="AE63" s="67"/>
      <c r="AF63" s="67"/>
      <c r="AG63" s="67"/>
      <c r="AH63" s="67"/>
      <c r="AI63" s="67"/>
      <c r="AJ63" s="58"/>
      <c r="AK63" s="58"/>
      <c r="AL63" s="58"/>
      <c r="AM63" s="58"/>
      <c r="AN63" s="58"/>
      <c r="AO63" s="58"/>
      <c r="AP63" s="58"/>
      <c r="AQ63" s="58"/>
      <c r="AR63" s="58"/>
      <c r="AS63" s="58"/>
    </row>
    <row r="64" spans="1:45" ht="12.75">
      <c r="A64" s="58"/>
      <c r="B64" s="58"/>
      <c r="C64" s="66"/>
      <c r="D64" s="66"/>
      <c r="E64" s="66"/>
      <c r="F64" s="66"/>
      <c r="G64" s="66"/>
      <c r="H64" s="66"/>
      <c r="I64" s="66"/>
      <c r="J64" s="66"/>
      <c r="K64" s="66"/>
      <c r="L64" s="66"/>
      <c r="M64" s="66"/>
      <c r="N64" s="66"/>
      <c r="O64" s="66"/>
      <c r="P64" s="66"/>
      <c r="Q64" s="66"/>
      <c r="R64" s="66"/>
      <c r="S64" s="66"/>
      <c r="T64" s="66"/>
      <c r="U64" s="66"/>
      <c r="V64" s="66"/>
      <c r="W64" s="58"/>
      <c r="X64" s="58"/>
      <c r="Y64" s="58"/>
      <c r="Z64" s="58"/>
      <c r="AA64" s="58"/>
      <c r="AB64" s="58"/>
      <c r="AC64" s="58"/>
      <c r="AD64" s="67"/>
      <c r="AE64" s="67"/>
      <c r="AF64" s="67"/>
      <c r="AG64" s="67"/>
      <c r="AH64" s="67"/>
      <c r="AI64" s="67"/>
      <c r="AJ64" s="58"/>
      <c r="AK64" s="58"/>
      <c r="AL64" s="58"/>
      <c r="AM64" s="58"/>
      <c r="AN64" s="58"/>
      <c r="AO64" s="58"/>
      <c r="AP64" s="58"/>
      <c r="AQ64" s="58"/>
      <c r="AR64" s="58"/>
      <c r="AS64" s="58"/>
    </row>
    <row r="65" spans="1:45" ht="12.75">
      <c r="A65" s="58"/>
      <c r="B65" s="58"/>
      <c r="C65" s="66"/>
      <c r="D65" s="66"/>
      <c r="E65" s="66"/>
      <c r="F65" s="66"/>
      <c r="G65" s="66"/>
      <c r="H65" s="66"/>
      <c r="I65" s="66"/>
      <c r="J65" s="66"/>
      <c r="K65" s="66"/>
      <c r="L65" s="66"/>
      <c r="M65" s="66"/>
      <c r="N65" s="66"/>
      <c r="O65" s="66"/>
      <c r="P65" s="66"/>
      <c r="Q65" s="66"/>
      <c r="R65" s="66"/>
      <c r="S65" s="66"/>
      <c r="T65" s="66"/>
      <c r="U65" s="66"/>
      <c r="V65" s="66"/>
      <c r="W65" s="58"/>
      <c r="X65" s="58"/>
      <c r="Y65" s="58"/>
      <c r="Z65" s="58"/>
      <c r="AA65" s="58"/>
      <c r="AB65" s="58"/>
      <c r="AC65" s="58"/>
      <c r="AD65" s="67"/>
      <c r="AE65" s="67"/>
      <c r="AF65" s="67"/>
      <c r="AG65" s="67"/>
      <c r="AH65" s="67"/>
      <c r="AI65" s="67"/>
      <c r="AJ65" s="58"/>
      <c r="AK65" s="58"/>
      <c r="AL65" s="58"/>
      <c r="AM65" s="58"/>
      <c r="AN65" s="58"/>
      <c r="AO65" s="58"/>
      <c r="AP65" s="58"/>
      <c r="AQ65" s="58"/>
      <c r="AR65" s="58"/>
      <c r="AS65" s="58"/>
    </row>
    <row r="66" spans="1:45" ht="12.75">
      <c r="A66" s="58"/>
      <c r="B66" s="58"/>
      <c r="C66" s="66"/>
      <c r="D66" s="66"/>
      <c r="E66" s="66"/>
      <c r="F66" s="66"/>
      <c r="G66" s="66"/>
      <c r="H66" s="66"/>
      <c r="I66" s="66"/>
      <c r="J66" s="66"/>
      <c r="K66" s="66"/>
      <c r="L66" s="66"/>
      <c r="M66" s="66"/>
      <c r="N66" s="66"/>
      <c r="O66" s="66"/>
      <c r="P66" s="66"/>
      <c r="Q66" s="66"/>
      <c r="R66" s="66"/>
      <c r="S66" s="66"/>
      <c r="T66" s="66"/>
      <c r="U66" s="66"/>
      <c r="V66" s="66"/>
      <c r="W66" s="58"/>
      <c r="X66" s="58"/>
      <c r="Y66" s="58"/>
      <c r="Z66" s="58"/>
      <c r="AA66" s="58"/>
      <c r="AB66" s="58"/>
      <c r="AC66" s="58"/>
      <c r="AD66" s="67"/>
      <c r="AE66" s="67"/>
      <c r="AF66" s="67"/>
      <c r="AG66" s="67"/>
      <c r="AH66" s="67"/>
      <c r="AI66" s="67"/>
      <c r="AJ66" s="58"/>
      <c r="AK66" s="58"/>
      <c r="AL66" s="58"/>
      <c r="AM66" s="58"/>
      <c r="AN66" s="58"/>
      <c r="AO66" s="58"/>
      <c r="AP66" s="58"/>
      <c r="AQ66" s="58"/>
      <c r="AR66" s="58"/>
      <c r="AS66" s="58"/>
    </row>
    <row r="67" spans="1:45" ht="12.75">
      <c r="A67" s="58"/>
      <c r="B67" s="58"/>
      <c r="C67" s="66"/>
      <c r="D67" s="66"/>
      <c r="E67" s="66"/>
      <c r="F67" s="66"/>
      <c r="G67" s="66"/>
      <c r="H67" s="66"/>
      <c r="I67" s="66"/>
      <c r="J67" s="66"/>
      <c r="K67" s="66"/>
      <c r="L67" s="66"/>
      <c r="M67" s="66"/>
      <c r="N67" s="66"/>
      <c r="O67" s="66"/>
      <c r="P67" s="66"/>
      <c r="Q67" s="66"/>
      <c r="R67" s="66"/>
      <c r="S67" s="66"/>
      <c r="T67" s="66"/>
      <c r="U67" s="66"/>
      <c r="V67" s="66"/>
      <c r="W67" s="58"/>
      <c r="X67" s="58"/>
      <c r="Y67" s="58"/>
      <c r="Z67" s="58"/>
      <c r="AA67" s="58"/>
      <c r="AB67" s="58"/>
      <c r="AC67" s="58"/>
      <c r="AD67" s="67"/>
      <c r="AE67" s="67"/>
      <c r="AF67" s="67"/>
      <c r="AG67" s="67"/>
      <c r="AH67" s="67"/>
      <c r="AI67" s="67"/>
      <c r="AJ67" s="58"/>
      <c r="AK67" s="58"/>
      <c r="AL67" s="58"/>
      <c r="AM67" s="58"/>
      <c r="AN67" s="58"/>
      <c r="AO67" s="58"/>
      <c r="AP67" s="58"/>
      <c r="AQ67" s="58"/>
      <c r="AR67" s="58"/>
      <c r="AS67" s="58"/>
    </row>
    <row r="68" spans="1:45" ht="12.75">
      <c r="A68" s="58"/>
      <c r="B68" s="58"/>
      <c r="C68" s="66"/>
      <c r="D68" s="66"/>
      <c r="E68" s="66"/>
      <c r="F68" s="66"/>
      <c r="G68" s="66"/>
      <c r="H68" s="66"/>
      <c r="I68" s="66"/>
      <c r="J68" s="66"/>
      <c r="K68" s="66"/>
      <c r="L68" s="66"/>
      <c r="M68" s="66"/>
      <c r="N68" s="66"/>
      <c r="O68" s="66"/>
      <c r="P68" s="66"/>
      <c r="Q68" s="66"/>
      <c r="R68" s="66"/>
      <c r="S68" s="66"/>
      <c r="T68" s="66"/>
      <c r="U68" s="66"/>
      <c r="V68" s="66"/>
      <c r="W68" s="58"/>
      <c r="X68" s="58"/>
      <c r="Y68" s="58"/>
      <c r="Z68" s="58"/>
      <c r="AA68" s="58"/>
      <c r="AB68" s="58"/>
      <c r="AC68" s="58"/>
      <c r="AD68" s="67"/>
      <c r="AE68" s="67"/>
      <c r="AF68" s="67"/>
      <c r="AG68" s="67"/>
      <c r="AH68" s="67"/>
      <c r="AI68" s="67"/>
      <c r="AJ68" s="58"/>
      <c r="AK68" s="58"/>
      <c r="AL68" s="58"/>
      <c r="AM68" s="58"/>
      <c r="AN68" s="58"/>
      <c r="AO68" s="58"/>
      <c r="AP68" s="58"/>
      <c r="AQ68" s="58"/>
      <c r="AR68" s="58"/>
      <c r="AS68" s="58"/>
    </row>
    <row r="69" spans="1:45" ht="12.75">
      <c r="A69" s="58"/>
      <c r="B69" s="58"/>
      <c r="C69" s="66"/>
      <c r="D69" s="66"/>
      <c r="E69" s="66"/>
      <c r="F69" s="66"/>
      <c r="G69" s="66"/>
      <c r="H69" s="66"/>
      <c r="I69" s="66"/>
      <c r="J69" s="66"/>
      <c r="K69" s="66"/>
      <c r="L69" s="66"/>
      <c r="M69" s="66"/>
      <c r="N69" s="66"/>
      <c r="O69" s="66"/>
      <c r="P69" s="66"/>
      <c r="Q69" s="66"/>
      <c r="R69" s="66"/>
      <c r="S69" s="66"/>
      <c r="T69" s="66"/>
      <c r="U69" s="66"/>
      <c r="V69" s="66"/>
      <c r="W69" s="58"/>
      <c r="X69" s="58"/>
      <c r="Y69" s="58"/>
      <c r="Z69" s="58"/>
      <c r="AA69" s="58"/>
      <c r="AB69" s="58"/>
      <c r="AC69" s="58"/>
      <c r="AD69" s="67"/>
      <c r="AE69" s="67"/>
      <c r="AF69" s="67"/>
      <c r="AG69" s="67"/>
      <c r="AH69" s="67"/>
      <c r="AI69" s="67"/>
      <c r="AJ69" s="58"/>
      <c r="AK69" s="58"/>
      <c r="AL69" s="58"/>
      <c r="AM69" s="58"/>
      <c r="AN69" s="58"/>
      <c r="AO69" s="58"/>
      <c r="AP69" s="58"/>
      <c r="AQ69" s="58"/>
      <c r="AR69" s="58"/>
      <c r="AS69" s="58"/>
    </row>
    <row r="70" spans="1:45" ht="12.75">
      <c r="A70" s="58"/>
      <c r="B70" s="58"/>
      <c r="C70" s="66"/>
      <c r="D70" s="66"/>
      <c r="E70" s="66"/>
      <c r="F70" s="66"/>
      <c r="G70" s="66"/>
      <c r="H70" s="66"/>
      <c r="I70" s="66"/>
      <c r="J70" s="66"/>
      <c r="K70" s="66"/>
      <c r="L70" s="66"/>
      <c r="M70" s="66"/>
      <c r="N70" s="66"/>
      <c r="O70" s="66"/>
      <c r="P70" s="66"/>
      <c r="Q70" s="66"/>
      <c r="R70" s="66"/>
      <c r="S70" s="66"/>
      <c r="T70" s="66"/>
      <c r="U70" s="66"/>
      <c r="V70" s="66"/>
      <c r="W70" s="58"/>
      <c r="X70" s="58"/>
      <c r="Y70" s="58"/>
      <c r="Z70" s="58"/>
      <c r="AA70" s="58"/>
      <c r="AB70" s="58"/>
      <c r="AC70" s="58"/>
      <c r="AD70" s="67"/>
      <c r="AE70" s="67"/>
      <c r="AF70" s="67"/>
      <c r="AG70" s="67"/>
      <c r="AH70" s="67"/>
      <c r="AI70" s="67"/>
      <c r="AJ70" s="58"/>
      <c r="AK70" s="58"/>
      <c r="AL70" s="58"/>
      <c r="AM70" s="58"/>
      <c r="AN70" s="58"/>
      <c r="AO70" s="58"/>
      <c r="AP70" s="58"/>
      <c r="AQ70" s="58"/>
      <c r="AR70" s="58"/>
      <c r="AS70" s="58"/>
    </row>
    <row r="71" spans="1:45" ht="12.75">
      <c r="A71" s="58"/>
      <c r="AJ71" s="58"/>
      <c r="AK71" s="58"/>
      <c r="AL71" s="58"/>
      <c r="AM71" s="58"/>
      <c r="AN71" s="58"/>
      <c r="AO71" s="58"/>
      <c r="AP71" s="58"/>
      <c r="AQ71" s="58"/>
      <c r="AR71" s="58"/>
      <c r="AS71" s="58"/>
    </row>
    <row r="72" spans="1:45" ht="12.75">
      <c r="A72" s="58"/>
      <c r="AJ72" s="58"/>
      <c r="AK72" s="58"/>
      <c r="AL72" s="58"/>
      <c r="AM72" s="58"/>
      <c r="AN72" s="58"/>
      <c r="AO72" s="58"/>
      <c r="AP72" s="58"/>
      <c r="AQ72" s="58"/>
      <c r="AR72" s="58"/>
      <c r="AS72" s="58"/>
    </row>
    <row r="73" spans="1:45" ht="12.75">
      <c r="A73" s="58"/>
      <c r="AJ73" s="58"/>
      <c r="AK73" s="58"/>
      <c r="AL73" s="58"/>
      <c r="AM73" s="58"/>
      <c r="AN73" s="58"/>
      <c r="AO73" s="58"/>
      <c r="AP73" s="58"/>
      <c r="AQ73" s="58"/>
      <c r="AR73" s="58"/>
      <c r="AS73" s="58"/>
    </row>
    <row r="74" spans="1:45" ht="12.75">
      <c r="A74" s="58"/>
      <c r="AJ74" s="58"/>
      <c r="AK74" s="58"/>
      <c r="AL74" s="58"/>
      <c r="AM74" s="58"/>
      <c r="AN74" s="58"/>
      <c r="AO74" s="58"/>
      <c r="AP74" s="58"/>
      <c r="AQ74" s="58"/>
      <c r="AR74" s="58"/>
      <c r="AS74" s="58"/>
    </row>
    <row r="75" spans="1:45" ht="12.75">
      <c r="A75" s="58"/>
      <c r="AJ75" s="58"/>
      <c r="AK75" s="58"/>
      <c r="AL75" s="58"/>
      <c r="AM75" s="58"/>
      <c r="AN75" s="58"/>
      <c r="AO75" s="58"/>
      <c r="AP75" s="58"/>
      <c r="AQ75" s="58"/>
      <c r="AR75" s="58"/>
      <c r="AS75" s="58"/>
    </row>
    <row r="76" spans="1:45" ht="12.75">
      <c r="A76" s="58"/>
      <c r="AJ76" s="58"/>
      <c r="AK76" s="58"/>
      <c r="AL76" s="58"/>
      <c r="AM76" s="58"/>
      <c r="AN76" s="58"/>
      <c r="AO76" s="58"/>
      <c r="AP76" s="58"/>
      <c r="AQ76" s="58"/>
      <c r="AR76" s="58"/>
      <c r="AS76" s="58"/>
    </row>
    <row r="77" spans="1:45" ht="12.75">
      <c r="A77" s="58"/>
      <c r="AJ77" s="58"/>
      <c r="AK77" s="58"/>
      <c r="AL77" s="58"/>
      <c r="AM77" s="58"/>
      <c r="AN77" s="58"/>
      <c r="AO77" s="58"/>
      <c r="AP77" s="58"/>
      <c r="AQ77" s="58"/>
      <c r="AR77" s="58"/>
      <c r="AS77" s="58"/>
    </row>
    <row r="78" spans="1:45" ht="12.75">
      <c r="A78" s="58"/>
      <c r="AJ78" s="58"/>
      <c r="AK78" s="58"/>
      <c r="AL78" s="58"/>
      <c r="AM78" s="58"/>
      <c r="AN78" s="58"/>
      <c r="AO78" s="58"/>
      <c r="AP78" s="58"/>
      <c r="AQ78" s="58"/>
      <c r="AR78" s="58"/>
      <c r="AS78" s="58"/>
    </row>
    <row r="79" spans="1:45" ht="12.75">
      <c r="A79" s="58"/>
      <c r="AJ79" s="58"/>
      <c r="AK79" s="58"/>
      <c r="AL79" s="58"/>
      <c r="AM79" s="58"/>
      <c r="AN79" s="58"/>
      <c r="AO79" s="58"/>
      <c r="AP79" s="58"/>
      <c r="AQ79" s="58"/>
      <c r="AR79" s="58"/>
      <c r="AS79" s="58"/>
    </row>
    <row r="80" spans="1:45" ht="12.75">
      <c r="A80" s="58"/>
      <c r="AJ80" s="58"/>
      <c r="AK80" s="58"/>
      <c r="AL80" s="58"/>
      <c r="AM80" s="58"/>
      <c r="AN80" s="58"/>
      <c r="AO80" s="58"/>
      <c r="AP80" s="58"/>
      <c r="AQ80" s="58"/>
      <c r="AR80" s="58"/>
      <c r="AS80" s="58"/>
    </row>
    <row r="81" spans="1:45" ht="12.75">
      <c r="A81" s="58"/>
      <c r="AJ81" s="58"/>
      <c r="AK81" s="58"/>
      <c r="AL81" s="58"/>
      <c r="AM81" s="58"/>
      <c r="AN81" s="58"/>
      <c r="AO81" s="58"/>
      <c r="AP81" s="58"/>
      <c r="AQ81" s="58"/>
      <c r="AR81" s="58"/>
      <c r="AS81" s="58"/>
    </row>
    <row r="82" spans="1:45" ht="12.75">
      <c r="A82" s="58"/>
      <c r="AJ82" s="58"/>
      <c r="AK82" s="58"/>
      <c r="AL82" s="58"/>
      <c r="AM82" s="58"/>
      <c r="AN82" s="58"/>
      <c r="AO82" s="58"/>
      <c r="AP82" s="58"/>
      <c r="AQ82" s="58"/>
      <c r="AR82" s="58"/>
      <c r="AS82" s="58"/>
    </row>
    <row r="83" spans="1:45" ht="12.75">
      <c r="A83" s="58"/>
      <c r="AJ83" s="58"/>
      <c r="AK83" s="58"/>
      <c r="AL83" s="58"/>
      <c r="AM83" s="58"/>
      <c r="AN83" s="58"/>
      <c r="AO83" s="58"/>
      <c r="AP83" s="58"/>
      <c r="AQ83" s="58"/>
      <c r="AR83" s="58"/>
      <c r="AS83" s="58"/>
    </row>
    <row r="84" spans="1:45" ht="12.75">
      <c r="A84" s="58"/>
      <c r="AJ84" s="58"/>
      <c r="AK84" s="58"/>
      <c r="AL84" s="58"/>
      <c r="AM84" s="58"/>
      <c r="AN84" s="58"/>
      <c r="AO84" s="58"/>
      <c r="AP84" s="58"/>
      <c r="AQ84" s="58"/>
      <c r="AR84" s="58"/>
      <c r="AS84" s="58"/>
    </row>
    <row r="85" spans="1:45" ht="12.75">
      <c r="A85" s="58"/>
      <c r="AJ85" s="58"/>
      <c r="AK85" s="58"/>
      <c r="AL85" s="58"/>
      <c r="AM85" s="58"/>
      <c r="AN85" s="58"/>
      <c r="AO85" s="58"/>
      <c r="AP85" s="58"/>
      <c r="AQ85" s="58"/>
      <c r="AR85" s="58"/>
      <c r="AS85" s="58"/>
    </row>
    <row r="86" spans="1:45" ht="12.75">
      <c r="A86" s="58"/>
      <c r="AJ86" s="58"/>
      <c r="AK86" s="58"/>
      <c r="AL86" s="58"/>
      <c r="AM86" s="58"/>
      <c r="AN86" s="58"/>
      <c r="AO86" s="58"/>
      <c r="AP86" s="58"/>
      <c r="AQ86" s="58"/>
      <c r="AR86" s="58"/>
      <c r="AS86" s="58"/>
    </row>
    <row r="87" spans="1:45" ht="12.75">
      <c r="A87" s="58"/>
      <c r="AJ87" s="58"/>
      <c r="AK87" s="58"/>
      <c r="AL87" s="58"/>
      <c r="AM87" s="58"/>
      <c r="AN87" s="58"/>
      <c r="AO87" s="58"/>
      <c r="AP87" s="58"/>
      <c r="AQ87" s="58"/>
      <c r="AR87" s="58"/>
      <c r="AS87" s="58"/>
    </row>
    <row r="88" spans="1:45" ht="12.75">
      <c r="A88" s="58"/>
      <c r="AJ88" s="58"/>
      <c r="AK88" s="58"/>
      <c r="AL88" s="58"/>
      <c r="AM88" s="58"/>
      <c r="AN88" s="58"/>
      <c r="AO88" s="58"/>
      <c r="AP88" s="58"/>
      <c r="AQ88" s="58"/>
      <c r="AR88" s="58"/>
      <c r="AS88" s="58"/>
    </row>
    <row r="89" spans="1:45" ht="12.75">
      <c r="A89" s="58"/>
      <c r="AJ89" s="58"/>
      <c r="AK89" s="58"/>
      <c r="AL89" s="58"/>
      <c r="AM89" s="58"/>
      <c r="AN89" s="58"/>
      <c r="AO89" s="58"/>
      <c r="AP89" s="58"/>
      <c r="AQ89" s="58"/>
      <c r="AR89" s="58"/>
      <c r="AS89" s="58"/>
    </row>
    <row r="90" spans="1:45" ht="12.75">
      <c r="A90" s="58"/>
      <c r="AJ90" s="58"/>
      <c r="AK90" s="58"/>
      <c r="AL90" s="58"/>
      <c r="AM90" s="58"/>
      <c r="AN90" s="58"/>
      <c r="AO90" s="58"/>
      <c r="AP90" s="58"/>
      <c r="AQ90" s="58"/>
      <c r="AR90" s="58"/>
      <c r="AS90" s="58"/>
    </row>
    <row r="91" spans="1:45" ht="12.75">
      <c r="A91" s="58"/>
      <c r="AJ91" s="58"/>
      <c r="AK91" s="58"/>
      <c r="AL91" s="58"/>
      <c r="AM91" s="58"/>
      <c r="AN91" s="58"/>
      <c r="AO91" s="58"/>
      <c r="AP91" s="58"/>
      <c r="AQ91" s="58"/>
      <c r="AR91" s="58"/>
      <c r="AS91" s="58"/>
    </row>
    <row r="92" spans="1:45" ht="12.75">
      <c r="A92" s="58"/>
      <c r="AJ92" s="58"/>
      <c r="AK92" s="58"/>
      <c r="AL92" s="58"/>
      <c r="AM92" s="58"/>
      <c r="AN92" s="58"/>
      <c r="AO92" s="58"/>
      <c r="AP92" s="58"/>
      <c r="AQ92" s="58"/>
      <c r="AR92" s="58"/>
      <c r="AS92" s="58"/>
    </row>
    <row r="93" spans="1:45" ht="12.75">
      <c r="A93" s="58"/>
      <c r="AJ93" s="58"/>
      <c r="AK93" s="58"/>
      <c r="AL93" s="58"/>
      <c r="AM93" s="58"/>
      <c r="AN93" s="58"/>
      <c r="AO93" s="58"/>
      <c r="AP93" s="58"/>
      <c r="AQ93" s="58"/>
      <c r="AR93" s="58"/>
      <c r="AS93" s="58"/>
    </row>
    <row r="94" spans="1:45" ht="12.75">
      <c r="A94" s="58"/>
      <c r="AJ94" s="58"/>
      <c r="AK94" s="58"/>
      <c r="AL94" s="58"/>
      <c r="AM94" s="58"/>
      <c r="AN94" s="58"/>
      <c r="AO94" s="58"/>
      <c r="AP94" s="58"/>
      <c r="AQ94" s="58"/>
      <c r="AR94" s="58"/>
      <c r="AS94" s="58"/>
    </row>
    <row r="95" spans="1:45" ht="12.75">
      <c r="A95" s="58"/>
      <c r="AJ95" s="58"/>
      <c r="AK95" s="58"/>
      <c r="AL95" s="58"/>
      <c r="AM95" s="58"/>
      <c r="AN95" s="58"/>
      <c r="AO95" s="58"/>
      <c r="AP95" s="58"/>
      <c r="AQ95" s="58"/>
      <c r="AR95" s="58"/>
      <c r="AS95" s="58"/>
    </row>
    <row r="96" spans="1:45" ht="12.75">
      <c r="A96" s="58"/>
      <c r="AJ96" s="58"/>
      <c r="AK96" s="58"/>
      <c r="AL96" s="58"/>
      <c r="AM96" s="58"/>
      <c r="AN96" s="58"/>
      <c r="AO96" s="58"/>
      <c r="AP96" s="58"/>
      <c r="AQ96" s="58"/>
      <c r="AR96" s="58"/>
      <c r="AS96" s="58"/>
    </row>
    <row r="97" spans="1:45" ht="12.75">
      <c r="A97" s="58"/>
      <c r="AJ97" s="58"/>
      <c r="AK97" s="58"/>
      <c r="AL97" s="58"/>
      <c r="AM97" s="58"/>
      <c r="AN97" s="58"/>
      <c r="AO97" s="58"/>
      <c r="AP97" s="58"/>
      <c r="AQ97" s="58"/>
      <c r="AR97" s="58"/>
      <c r="AS97" s="58"/>
    </row>
    <row r="98" spans="1:45" ht="12.75">
      <c r="A98" s="58"/>
      <c r="AJ98" s="58"/>
      <c r="AK98" s="58"/>
      <c r="AL98" s="58"/>
      <c r="AM98" s="58"/>
      <c r="AN98" s="58"/>
      <c r="AO98" s="58"/>
      <c r="AP98" s="58"/>
      <c r="AQ98" s="58"/>
      <c r="AR98" s="58"/>
      <c r="AS98" s="58"/>
    </row>
    <row r="99" spans="1:45" ht="12.75">
      <c r="A99" s="58"/>
      <c r="AJ99" s="58"/>
      <c r="AK99" s="58"/>
      <c r="AL99" s="58"/>
      <c r="AM99" s="58"/>
      <c r="AN99" s="58"/>
      <c r="AO99" s="58"/>
      <c r="AP99" s="58"/>
      <c r="AQ99" s="58"/>
      <c r="AR99" s="58"/>
      <c r="AS99" s="58"/>
    </row>
    <row r="100" spans="1:45" ht="12.75">
      <c r="A100" s="58"/>
      <c r="AJ100" s="58"/>
      <c r="AK100" s="58"/>
      <c r="AL100" s="58"/>
      <c r="AM100" s="58"/>
      <c r="AN100" s="58"/>
      <c r="AO100" s="58"/>
      <c r="AP100" s="58"/>
      <c r="AQ100" s="58"/>
      <c r="AR100" s="58"/>
      <c r="AS100" s="58"/>
    </row>
    <row r="101" spans="1:45" ht="12.75">
      <c r="A101" s="58"/>
      <c r="AJ101" s="58"/>
      <c r="AK101" s="58"/>
      <c r="AL101" s="58"/>
      <c r="AM101" s="58"/>
      <c r="AN101" s="58"/>
      <c r="AO101" s="58"/>
      <c r="AP101" s="58"/>
      <c r="AQ101" s="58"/>
      <c r="AR101" s="58"/>
      <c r="AS101" s="58"/>
    </row>
    <row r="102" spans="1:45" ht="12.75">
      <c r="A102" s="58"/>
      <c r="AJ102" s="58"/>
      <c r="AK102" s="58"/>
      <c r="AL102" s="58"/>
      <c r="AM102" s="58"/>
      <c r="AN102" s="58"/>
      <c r="AO102" s="58"/>
      <c r="AP102" s="58"/>
      <c r="AQ102" s="58"/>
      <c r="AR102" s="58"/>
      <c r="AS102" s="58"/>
    </row>
    <row r="103" spans="1:45" ht="12.75">
      <c r="A103" s="58"/>
      <c r="AJ103" s="58"/>
      <c r="AK103" s="58"/>
      <c r="AL103" s="58"/>
      <c r="AM103" s="58"/>
      <c r="AN103" s="58"/>
      <c r="AO103" s="58"/>
      <c r="AP103" s="58"/>
      <c r="AQ103" s="58"/>
      <c r="AR103" s="58"/>
      <c r="AS103" s="58"/>
    </row>
    <row r="104" spans="1:45" ht="12.75">
      <c r="A104" s="58"/>
      <c r="AJ104" s="58"/>
      <c r="AK104" s="58"/>
      <c r="AL104" s="58"/>
      <c r="AM104" s="58"/>
      <c r="AN104" s="58"/>
      <c r="AO104" s="58"/>
      <c r="AP104" s="58"/>
      <c r="AQ104" s="58"/>
      <c r="AR104" s="58"/>
      <c r="AS104" s="58"/>
    </row>
    <row r="105" spans="1:45" ht="12.75">
      <c r="A105" s="58"/>
      <c r="B105" s="58"/>
      <c r="C105" s="66"/>
      <c r="D105" s="66"/>
      <c r="E105" s="66"/>
      <c r="F105" s="66"/>
      <c r="G105" s="66"/>
      <c r="H105" s="66"/>
      <c r="I105" s="66"/>
      <c r="J105" s="66"/>
      <c r="K105" s="66"/>
      <c r="L105" s="66"/>
      <c r="M105" s="66"/>
      <c r="N105" s="66"/>
      <c r="O105" s="66"/>
      <c r="P105" s="66"/>
      <c r="Q105" s="66"/>
      <c r="R105" s="66"/>
      <c r="S105" s="66"/>
      <c r="T105" s="66"/>
      <c r="U105" s="66"/>
      <c r="V105" s="66"/>
      <c r="W105" s="58"/>
      <c r="X105" s="58"/>
      <c r="Y105" s="58"/>
      <c r="Z105" s="58"/>
      <c r="AA105" s="58"/>
      <c r="AB105" s="58"/>
      <c r="AC105" s="58"/>
      <c r="AD105" s="67"/>
      <c r="AE105" s="67"/>
      <c r="AF105" s="67"/>
      <c r="AG105" s="67"/>
      <c r="AH105" s="67"/>
      <c r="AI105" s="67"/>
      <c r="AJ105" s="58"/>
      <c r="AK105" s="58"/>
      <c r="AL105" s="58"/>
      <c r="AM105" s="58"/>
      <c r="AN105" s="58"/>
      <c r="AO105" s="58"/>
      <c r="AP105" s="58"/>
      <c r="AQ105" s="58"/>
      <c r="AR105" s="58"/>
      <c r="AS105" s="58"/>
    </row>
    <row r="106" spans="1:45" ht="12.75">
      <c r="A106" s="58"/>
      <c r="B106" s="58"/>
      <c r="C106" s="66"/>
      <c r="D106" s="66"/>
      <c r="E106" s="66"/>
      <c r="F106" s="66"/>
      <c r="G106" s="66"/>
      <c r="H106" s="66"/>
      <c r="I106" s="66"/>
      <c r="J106" s="66"/>
      <c r="K106" s="66"/>
      <c r="L106" s="66"/>
      <c r="M106" s="66"/>
      <c r="N106" s="66"/>
      <c r="O106" s="66"/>
      <c r="P106" s="66"/>
      <c r="Q106" s="66"/>
      <c r="R106" s="66"/>
      <c r="S106" s="66"/>
      <c r="T106" s="66"/>
      <c r="U106" s="66"/>
      <c r="V106" s="66"/>
      <c r="W106" s="58"/>
      <c r="X106" s="58"/>
      <c r="Y106" s="58"/>
      <c r="Z106" s="58"/>
      <c r="AA106" s="58"/>
      <c r="AB106" s="58"/>
      <c r="AC106" s="58"/>
      <c r="AD106" s="67"/>
      <c r="AE106" s="67"/>
      <c r="AF106" s="67"/>
      <c r="AG106" s="67"/>
      <c r="AH106" s="67"/>
      <c r="AI106" s="67"/>
      <c r="AJ106" s="58"/>
      <c r="AK106" s="58"/>
      <c r="AL106" s="58"/>
      <c r="AM106" s="58"/>
      <c r="AN106" s="58"/>
      <c r="AO106" s="58"/>
      <c r="AP106" s="58"/>
      <c r="AQ106" s="58"/>
      <c r="AR106" s="58"/>
      <c r="AS106" s="58"/>
    </row>
    <row r="107" spans="1:45" ht="12.75">
      <c r="A107" s="58"/>
      <c r="B107" s="58"/>
      <c r="C107" s="66"/>
      <c r="D107" s="66"/>
      <c r="E107" s="66"/>
      <c r="F107" s="66"/>
      <c r="G107" s="66"/>
      <c r="H107" s="66"/>
      <c r="I107" s="66"/>
      <c r="J107" s="66"/>
      <c r="K107" s="66"/>
      <c r="L107" s="66"/>
      <c r="M107" s="66"/>
      <c r="N107" s="66"/>
      <c r="O107" s="66"/>
      <c r="P107" s="66"/>
      <c r="Q107" s="66"/>
      <c r="R107" s="66"/>
      <c r="S107" s="66"/>
      <c r="T107" s="66"/>
      <c r="U107" s="66"/>
      <c r="V107" s="66"/>
      <c r="W107" s="58"/>
      <c r="X107" s="58"/>
      <c r="Y107" s="58"/>
      <c r="Z107" s="58"/>
      <c r="AA107" s="58"/>
      <c r="AB107" s="58"/>
      <c r="AC107" s="58"/>
      <c r="AD107" s="67"/>
      <c r="AE107" s="67"/>
      <c r="AF107" s="67"/>
      <c r="AG107" s="67"/>
      <c r="AH107" s="67"/>
      <c r="AI107" s="67"/>
      <c r="AJ107" s="58"/>
      <c r="AK107" s="58"/>
      <c r="AL107" s="58"/>
      <c r="AM107" s="58"/>
      <c r="AN107" s="58"/>
      <c r="AO107" s="58"/>
      <c r="AP107" s="58"/>
      <c r="AQ107" s="58"/>
      <c r="AR107" s="58"/>
      <c r="AS107" s="58"/>
    </row>
    <row r="108" spans="1:37" ht="12.75">
      <c r="A108" s="58"/>
      <c r="B108" s="58"/>
      <c r="C108" s="66"/>
      <c r="D108" s="66"/>
      <c r="E108" s="66"/>
      <c r="F108" s="66"/>
      <c r="G108" s="66"/>
      <c r="H108" s="66"/>
      <c r="I108" s="66"/>
      <c r="J108" s="66"/>
      <c r="K108" s="66"/>
      <c r="L108" s="66"/>
      <c r="M108" s="66"/>
      <c r="N108" s="66"/>
      <c r="O108" s="66"/>
      <c r="P108" s="66"/>
      <c r="Q108" s="66"/>
      <c r="R108" s="66"/>
      <c r="S108" s="66"/>
      <c r="T108" s="66"/>
      <c r="U108" s="66"/>
      <c r="V108" s="66"/>
      <c r="W108" s="58"/>
      <c r="X108" s="58"/>
      <c r="Y108" s="58"/>
      <c r="Z108" s="58"/>
      <c r="AA108" s="58"/>
      <c r="AB108" s="58"/>
      <c r="AC108" s="58"/>
      <c r="AD108" s="67"/>
      <c r="AE108" s="67"/>
      <c r="AF108" s="67"/>
      <c r="AG108" s="67"/>
      <c r="AH108" s="67"/>
      <c r="AI108" s="67"/>
      <c r="AJ108" s="58"/>
      <c r="AK108" s="58"/>
    </row>
    <row r="109" spans="1:37" ht="12.75">
      <c r="A109" s="58"/>
      <c r="B109" s="58"/>
      <c r="C109" s="66"/>
      <c r="D109" s="66"/>
      <c r="E109" s="66"/>
      <c r="F109" s="66"/>
      <c r="G109" s="66"/>
      <c r="H109" s="66"/>
      <c r="I109" s="66"/>
      <c r="J109" s="66"/>
      <c r="K109" s="66"/>
      <c r="L109" s="66"/>
      <c r="M109" s="66"/>
      <c r="N109" s="66"/>
      <c r="O109" s="66"/>
      <c r="P109" s="66"/>
      <c r="Q109" s="66"/>
      <c r="R109" s="66"/>
      <c r="S109" s="66"/>
      <c r="T109" s="66"/>
      <c r="U109" s="66"/>
      <c r="V109" s="66"/>
      <c r="W109" s="58"/>
      <c r="X109" s="58"/>
      <c r="Y109" s="58"/>
      <c r="Z109" s="58"/>
      <c r="AA109" s="58"/>
      <c r="AB109" s="58"/>
      <c r="AC109" s="58"/>
      <c r="AD109" s="67"/>
      <c r="AE109" s="67"/>
      <c r="AF109" s="67"/>
      <c r="AG109" s="67"/>
      <c r="AH109" s="67"/>
      <c r="AI109" s="67"/>
      <c r="AJ109" s="58"/>
      <c r="AK109" s="58"/>
    </row>
    <row r="110" spans="1:37" ht="12.75">
      <c r="A110" s="58"/>
      <c r="B110" s="58"/>
      <c r="C110" s="66"/>
      <c r="D110" s="66"/>
      <c r="E110" s="66"/>
      <c r="F110" s="66"/>
      <c r="G110" s="66"/>
      <c r="H110" s="66"/>
      <c r="I110" s="66"/>
      <c r="J110" s="66"/>
      <c r="K110" s="66"/>
      <c r="L110" s="66"/>
      <c r="M110" s="66"/>
      <c r="N110" s="66"/>
      <c r="O110" s="66"/>
      <c r="P110" s="66"/>
      <c r="Q110" s="66"/>
      <c r="R110" s="66"/>
      <c r="S110" s="66"/>
      <c r="T110" s="66"/>
      <c r="U110" s="66"/>
      <c r="V110" s="66"/>
      <c r="W110" s="58"/>
      <c r="X110" s="58"/>
      <c r="Y110" s="58"/>
      <c r="Z110" s="58"/>
      <c r="AA110" s="58"/>
      <c r="AB110" s="58"/>
      <c r="AC110" s="58"/>
      <c r="AD110" s="67"/>
      <c r="AE110" s="67"/>
      <c r="AF110" s="67"/>
      <c r="AG110" s="67"/>
      <c r="AH110" s="67"/>
      <c r="AI110" s="67"/>
      <c r="AJ110" s="58"/>
      <c r="AK110" s="58"/>
    </row>
    <row r="111" spans="1:37" ht="12.75">
      <c r="A111" s="58"/>
      <c r="B111" s="58"/>
      <c r="C111" s="66"/>
      <c r="D111" s="66"/>
      <c r="E111" s="66"/>
      <c r="F111" s="66"/>
      <c r="G111" s="66"/>
      <c r="H111" s="66"/>
      <c r="I111" s="66"/>
      <c r="J111" s="66"/>
      <c r="K111" s="66"/>
      <c r="L111" s="66"/>
      <c r="M111" s="66"/>
      <c r="N111" s="66"/>
      <c r="O111" s="66"/>
      <c r="P111" s="66"/>
      <c r="Q111" s="66"/>
      <c r="R111" s="66"/>
      <c r="S111" s="66"/>
      <c r="T111" s="66"/>
      <c r="U111" s="66"/>
      <c r="V111" s="66"/>
      <c r="W111" s="58"/>
      <c r="X111" s="58"/>
      <c r="Y111" s="58"/>
      <c r="Z111" s="58"/>
      <c r="AA111" s="58"/>
      <c r="AB111" s="58"/>
      <c r="AC111" s="58"/>
      <c r="AD111" s="67"/>
      <c r="AE111" s="67"/>
      <c r="AF111" s="67"/>
      <c r="AG111" s="67"/>
      <c r="AH111" s="67"/>
      <c r="AI111" s="67"/>
      <c r="AJ111" s="58"/>
      <c r="AK111" s="58"/>
    </row>
    <row r="112" spans="1:37" ht="12.75">
      <c r="A112" s="58"/>
      <c r="B112" s="58"/>
      <c r="C112" s="66"/>
      <c r="D112" s="66"/>
      <c r="E112" s="66"/>
      <c r="F112" s="66"/>
      <c r="G112" s="66"/>
      <c r="H112" s="66"/>
      <c r="I112" s="66"/>
      <c r="J112" s="66"/>
      <c r="K112" s="66"/>
      <c r="L112" s="66"/>
      <c r="M112" s="66"/>
      <c r="N112" s="66"/>
      <c r="O112" s="66"/>
      <c r="P112" s="66"/>
      <c r="Q112" s="66"/>
      <c r="R112" s="66"/>
      <c r="S112" s="66"/>
      <c r="T112" s="66"/>
      <c r="U112" s="66"/>
      <c r="V112" s="66"/>
      <c r="W112" s="58"/>
      <c r="X112" s="58"/>
      <c r="Y112" s="58"/>
      <c r="Z112" s="58"/>
      <c r="AA112" s="58"/>
      <c r="AB112" s="58"/>
      <c r="AC112" s="58"/>
      <c r="AD112" s="67"/>
      <c r="AE112" s="67"/>
      <c r="AF112" s="67"/>
      <c r="AG112" s="67"/>
      <c r="AH112" s="67"/>
      <c r="AI112" s="67"/>
      <c r="AJ112" s="58"/>
      <c r="AK112" s="58"/>
    </row>
    <row r="113" spans="1:37" ht="12.75">
      <c r="A113" s="58"/>
      <c r="B113" s="58"/>
      <c r="C113" s="66"/>
      <c r="D113" s="66"/>
      <c r="E113" s="66"/>
      <c r="F113" s="66"/>
      <c r="G113" s="66"/>
      <c r="H113" s="66"/>
      <c r="I113" s="66"/>
      <c r="J113" s="66"/>
      <c r="K113" s="66"/>
      <c r="L113" s="66"/>
      <c r="M113" s="66"/>
      <c r="N113" s="66"/>
      <c r="O113" s="66"/>
      <c r="P113" s="66"/>
      <c r="Q113" s="66"/>
      <c r="R113" s="66"/>
      <c r="S113" s="66"/>
      <c r="T113" s="66"/>
      <c r="U113" s="66"/>
      <c r="V113" s="66"/>
      <c r="W113" s="58"/>
      <c r="X113" s="58"/>
      <c r="Y113" s="58"/>
      <c r="Z113" s="58"/>
      <c r="AA113" s="58"/>
      <c r="AB113" s="58"/>
      <c r="AC113" s="58"/>
      <c r="AD113" s="67"/>
      <c r="AE113" s="67"/>
      <c r="AF113" s="67"/>
      <c r="AG113" s="67"/>
      <c r="AH113" s="67"/>
      <c r="AI113" s="67"/>
      <c r="AJ113" s="58"/>
      <c r="AK113" s="58"/>
    </row>
    <row r="114" spans="1:37" ht="12.75">
      <c r="A114" s="58"/>
      <c r="B114" s="58"/>
      <c r="C114" s="66"/>
      <c r="D114" s="66"/>
      <c r="E114" s="66"/>
      <c r="F114" s="66"/>
      <c r="G114" s="66"/>
      <c r="H114" s="66"/>
      <c r="I114" s="66"/>
      <c r="J114" s="66"/>
      <c r="K114" s="66"/>
      <c r="L114" s="66"/>
      <c r="M114" s="66"/>
      <c r="N114" s="66"/>
      <c r="O114" s="66"/>
      <c r="P114" s="66"/>
      <c r="Q114" s="66"/>
      <c r="R114" s="66"/>
      <c r="S114" s="66"/>
      <c r="T114" s="66"/>
      <c r="U114" s="66"/>
      <c r="V114" s="66"/>
      <c r="W114" s="58"/>
      <c r="X114" s="58"/>
      <c r="Y114" s="58"/>
      <c r="Z114" s="58"/>
      <c r="AA114" s="58"/>
      <c r="AB114" s="58"/>
      <c r="AC114" s="58"/>
      <c r="AD114" s="67"/>
      <c r="AE114" s="67"/>
      <c r="AF114" s="67"/>
      <c r="AG114" s="67"/>
      <c r="AH114" s="67"/>
      <c r="AI114" s="67"/>
      <c r="AJ114" s="58"/>
      <c r="AK114" s="58"/>
    </row>
    <row r="115" spans="1:37" ht="12.75">
      <c r="A115" s="58"/>
      <c r="B115" s="58"/>
      <c r="C115" s="66"/>
      <c r="D115" s="66"/>
      <c r="E115" s="66"/>
      <c r="F115" s="66"/>
      <c r="G115" s="66"/>
      <c r="H115" s="66"/>
      <c r="I115" s="66"/>
      <c r="J115" s="66"/>
      <c r="K115" s="66"/>
      <c r="L115" s="66"/>
      <c r="M115" s="66"/>
      <c r="N115" s="66"/>
      <c r="O115" s="66"/>
      <c r="P115" s="66"/>
      <c r="Q115" s="66"/>
      <c r="R115" s="66"/>
      <c r="S115" s="66"/>
      <c r="T115" s="66"/>
      <c r="U115" s="66"/>
      <c r="V115" s="66"/>
      <c r="W115" s="58"/>
      <c r="X115" s="58"/>
      <c r="Y115" s="58"/>
      <c r="Z115" s="58"/>
      <c r="AA115" s="58"/>
      <c r="AB115" s="58"/>
      <c r="AC115" s="58"/>
      <c r="AD115" s="67"/>
      <c r="AE115" s="67"/>
      <c r="AF115" s="67"/>
      <c r="AG115" s="67"/>
      <c r="AH115" s="67"/>
      <c r="AI115" s="67"/>
      <c r="AJ115" s="58"/>
      <c r="AK115" s="58"/>
    </row>
    <row r="116" spans="1:37" ht="12.75">
      <c r="A116" s="58"/>
      <c r="B116" s="58"/>
      <c r="C116" s="66"/>
      <c r="D116" s="66"/>
      <c r="E116" s="66"/>
      <c r="F116" s="66"/>
      <c r="G116" s="66"/>
      <c r="H116" s="66"/>
      <c r="I116" s="66"/>
      <c r="J116" s="66"/>
      <c r="K116" s="66"/>
      <c r="L116" s="66"/>
      <c r="M116" s="66"/>
      <c r="N116" s="66"/>
      <c r="O116" s="66"/>
      <c r="P116" s="66"/>
      <c r="Q116" s="66"/>
      <c r="R116" s="66"/>
      <c r="S116" s="66"/>
      <c r="T116" s="66"/>
      <c r="U116" s="66"/>
      <c r="V116" s="66"/>
      <c r="W116" s="58"/>
      <c r="X116" s="58"/>
      <c r="Y116" s="58"/>
      <c r="Z116" s="58"/>
      <c r="AA116" s="58"/>
      <c r="AB116" s="58"/>
      <c r="AC116" s="58"/>
      <c r="AD116" s="67"/>
      <c r="AE116" s="67"/>
      <c r="AF116" s="67"/>
      <c r="AG116" s="67"/>
      <c r="AH116" s="67"/>
      <c r="AI116" s="67"/>
      <c r="AJ116" s="58"/>
      <c r="AK116" s="58"/>
    </row>
    <row r="117" spans="1:37" ht="12.75">
      <c r="A117" s="58"/>
      <c r="B117" s="58"/>
      <c r="C117" s="66"/>
      <c r="D117" s="66"/>
      <c r="E117" s="66"/>
      <c r="F117" s="66"/>
      <c r="G117" s="66"/>
      <c r="H117" s="66"/>
      <c r="I117" s="66"/>
      <c r="J117" s="66"/>
      <c r="K117" s="66"/>
      <c r="L117" s="66"/>
      <c r="M117" s="66"/>
      <c r="N117" s="66"/>
      <c r="O117" s="66"/>
      <c r="P117" s="66"/>
      <c r="Q117" s="66"/>
      <c r="R117" s="66"/>
      <c r="S117" s="66"/>
      <c r="T117" s="66"/>
      <c r="U117" s="66"/>
      <c r="V117" s="66"/>
      <c r="W117" s="58"/>
      <c r="X117" s="58"/>
      <c r="Y117" s="58"/>
      <c r="Z117" s="58"/>
      <c r="AA117" s="58"/>
      <c r="AB117" s="58"/>
      <c r="AC117" s="58"/>
      <c r="AD117" s="67"/>
      <c r="AE117" s="67"/>
      <c r="AF117" s="67"/>
      <c r="AG117" s="67"/>
      <c r="AH117" s="67"/>
      <c r="AI117" s="67"/>
      <c r="AJ117" s="58"/>
      <c r="AK117" s="58"/>
    </row>
    <row r="118" spans="1:37" ht="12.75">
      <c r="A118" s="58"/>
      <c r="B118" s="58"/>
      <c r="C118" s="66"/>
      <c r="D118" s="66"/>
      <c r="E118" s="66"/>
      <c r="F118" s="66"/>
      <c r="G118" s="66"/>
      <c r="H118" s="66"/>
      <c r="I118" s="66"/>
      <c r="J118" s="66"/>
      <c r="K118" s="66"/>
      <c r="L118" s="66"/>
      <c r="M118" s="66"/>
      <c r="N118" s="66"/>
      <c r="O118" s="66"/>
      <c r="P118" s="66"/>
      <c r="Q118" s="66"/>
      <c r="R118" s="66"/>
      <c r="S118" s="66"/>
      <c r="T118" s="66"/>
      <c r="U118" s="66"/>
      <c r="V118" s="66"/>
      <c r="W118" s="58"/>
      <c r="X118" s="58"/>
      <c r="Y118" s="58"/>
      <c r="Z118" s="58"/>
      <c r="AA118" s="58"/>
      <c r="AB118" s="58"/>
      <c r="AC118" s="58"/>
      <c r="AD118" s="67"/>
      <c r="AE118" s="67"/>
      <c r="AF118" s="67"/>
      <c r="AG118" s="67"/>
      <c r="AH118" s="67"/>
      <c r="AI118" s="67"/>
      <c r="AJ118" s="58"/>
      <c r="AK118" s="58"/>
    </row>
    <row r="119" spans="2:37" ht="12.75">
      <c r="B119" s="58"/>
      <c r="C119" s="66"/>
      <c r="D119" s="66"/>
      <c r="E119" s="66"/>
      <c r="F119" s="66"/>
      <c r="G119" s="66"/>
      <c r="H119" s="66"/>
      <c r="I119" s="66"/>
      <c r="J119" s="66"/>
      <c r="K119" s="66"/>
      <c r="L119" s="66"/>
      <c r="M119" s="66"/>
      <c r="N119" s="66"/>
      <c r="O119" s="66"/>
      <c r="P119" s="66"/>
      <c r="Q119" s="66"/>
      <c r="R119" s="66"/>
      <c r="S119" s="66"/>
      <c r="T119" s="66"/>
      <c r="U119" s="66"/>
      <c r="V119" s="66"/>
      <c r="W119" s="58"/>
      <c r="X119" s="58"/>
      <c r="Y119" s="58"/>
      <c r="Z119" s="58"/>
      <c r="AA119" s="58"/>
      <c r="AB119" s="58"/>
      <c r="AC119" s="58"/>
      <c r="AD119" s="67"/>
      <c r="AE119" s="67"/>
      <c r="AF119" s="67"/>
      <c r="AG119" s="67"/>
      <c r="AH119" s="67"/>
      <c r="AI119" s="67"/>
      <c r="AJ119" s="58"/>
      <c r="AK119" s="58"/>
    </row>
    <row r="120" spans="2:37" ht="12.75">
      <c r="B120" s="58"/>
      <c r="C120" s="66"/>
      <c r="D120" s="66"/>
      <c r="E120" s="66"/>
      <c r="F120" s="66"/>
      <c r="G120" s="66"/>
      <c r="H120" s="66"/>
      <c r="I120" s="66"/>
      <c r="J120" s="66"/>
      <c r="K120" s="66"/>
      <c r="L120" s="66"/>
      <c r="M120" s="66"/>
      <c r="N120" s="66"/>
      <c r="O120" s="66"/>
      <c r="P120" s="66"/>
      <c r="Q120" s="66"/>
      <c r="R120" s="66"/>
      <c r="S120" s="66"/>
      <c r="T120" s="66"/>
      <c r="U120" s="66"/>
      <c r="V120" s="66"/>
      <c r="W120" s="58"/>
      <c r="X120" s="58"/>
      <c r="Y120" s="58"/>
      <c r="Z120" s="58"/>
      <c r="AA120" s="58"/>
      <c r="AB120" s="58"/>
      <c r="AC120" s="58"/>
      <c r="AD120" s="67"/>
      <c r="AE120" s="67"/>
      <c r="AF120" s="67"/>
      <c r="AG120" s="67"/>
      <c r="AH120" s="67"/>
      <c r="AI120" s="67"/>
      <c r="AJ120" s="58"/>
      <c r="AK120" s="58"/>
    </row>
    <row r="121" spans="2:37" ht="12.75">
      <c r="B121" s="58"/>
      <c r="C121" s="66"/>
      <c r="D121" s="66"/>
      <c r="E121" s="66"/>
      <c r="F121" s="66"/>
      <c r="G121" s="66"/>
      <c r="H121" s="66"/>
      <c r="I121" s="66"/>
      <c r="J121" s="66"/>
      <c r="K121" s="66"/>
      <c r="L121" s="66"/>
      <c r="M121" s="66"/>
      <c r="N121" s="66"/>
      <c r="O121" s="66"/>
      <c r="P121" s="66"/>
      <c r="Q121" s="66"/>
      <c r="R121" s="66"/>
      <c r="S121" s="66"/>
      <c r="T121" s="66"/>
      <c r="U121" s="66"/>
      <c r="V121" s="66"/>
      <c r="W121" s="58"/>
      <c r="X121" s="58"/>
      <c r="Y121" s="58"/>
      <c r="Z121" s="58"/>
      <c r="AA121" s="58"/>
      <c r="AB121" s="58"/>
      <c r="AC121" s="58"/>
      <c r="AD121" s="67"/>
      <c r="AE121" s="67"/>
      <c r="AF121" s="67"/>
      <c r="AG121" s="67"/>
      <c r="AH121" s="67"/>
      <c r="AI121" s="67"/>
      <c r="AJ121" s="58"/>
      <c r="AK121" s="58"/>
    </row>
    <row r="122" spans="2:37" ht="12.75">
      <c r="B122" s="58"/>
      <c r="C122" s="66"/>
      <c r="D122" s="66"/>
      <c r="E122" s="66"/>
      <c r="F122" s="66"/>
      <c r="G122" s="66"/>
      <c r="H122" s="66"/>
      <c r="I122" s="66"/>
      <c r="J122" s="66"/>
      <c r="K122" s="66"/>
      <c r="L122" s="66"/>
      <c r="M122" s="66"/>
      <c r="N122" s="66"/>
      <c r="O122" s="66"/>
      <c r="P122" s="66"/>
      <c r="Q122" s="66"/>
      <c r="R122" s="66"/>
      <c r="S122" s="66"/>
      <c r="T122" s="66"/>
      <c r="U122" s="66"/>
      <c r="V122" s="66"/>
      <c r="W122" s="58"/>
      <c r="X122" s="58"/>
      <c r="Y122" s="58"/>
      <c r="Z122" s="58"/>
      <c r="AA122" s="58"/>
      <c r="AB122" s="58"/>
      <c r="AC122" s="58"/>
      <c r="AD122" s="67"/>
      <c r="AE122" s="67"/>
      <c r="AF122" s="67"/>
      <c r="AG122" s="67"/>
      <c r="AH122" s="67"/>
      <c r="AI122" s="67"/>
      <c r="AJ122" s="58"/>
      <c r="AK122" s="58"/>
    </row>
    <row r="123" spans="2:37" ht="12.75">
      <c r="B123" s="58"/>
      <c r="C123" s="66"/>
      <c r="D123" s="66"/>
      <c r="E123" s="66"/>
      <c r="F123" s="66"/>
      <c r="G123" s="66"/>
      <c r="H123" s="66"/>
      <c r="I123" s="66"/>
      <c r="J123" s="66"/>
      <c r="K123" s="66"/>
      <c r="L123" s="66"/>
      <c r="M123" s="66"/>
      <c r="N123" s="66"/>
      <c r="O123" s="66"/>
      <c r="P123" s="66"/>
      <c r="Q123" s="66"/>
      <c r="R123" s="66"/>
      <c r="S123" s="66"/>
      <c r="T123" s="66"/>
      <c r="U123" s="66"/>
      <c r="V123" s="66"/>
      <c r="W123" s="58"/>
      <c r="X123" s="58"/>
      <c r="Y123" s="58"/>
      <c r="Z123" s="58"/>
      <c r="AA123" s="58"/>
      <c r="AB123" s="58"/>
      <c r="AC123" s="58"/>
      <c r="AD123" s="67"/>
      <c r="AE123" s="67"/>
      <c r="AF123" s="67"/>
      <c r="AG123" s="67"/>
      <c r="AH123" s="67"/>
      <c r="AI123" s="67"/>
      <c r="AJ123" s="58"/>
      <c r="AK123" s="58"/>
    </row>
    <row r="124" spans="2:37" ht="12.75">
      <c r="B124" s="58"/>
      <c r="C124" s="66"/>
      <c r="D124" s="66"/>
      <c r="E124" s="66"/>
      <c r="F124" s="66"/>
      <c r="G124" s="66"/>
      <c r="H124" s="66"/>
      <c r="I124" s="66"/>
      <c r="J124" s="66"/>
      <c r="K124" s="66"/>
      <c r="L124" s="66"/>
      <c r="M124" s="66"/>
      <c r="N124" s="66"/>
      <c r="O124" s="66"/>
      <c r="P124" s="66"/>
      <c r="Q124" s="66"/>
      <c r="R124" s="66"/>
      <c r="S124" s="66"/>
      <c r="T124" s="66"/>
      <c r="U124" s="66"/>
      <c r="V124" s="66"/>
      <c r="W124" s="58"/>
      <c r="X124" s="58"/>
      <c r="Y124" s="58"/>
      <c r="Z124" s="58"/>
      <c r="AA124" s="58"/>
      <c r="AB124" s="58"/>
      <c r="AC124" s="58"/>
      <c r="AD124" s="67"/>
      <c r="AE124" s="67"/>
      <c r="AF124" s="67"/>
      <c r="AG124" s="67"/>
      <c r="AH124" s="67"/>
      <c r="AI124" s="67"/>
      <c r="AJ124" s="58"/>
      <c r="AK124" s="58"/>
    </row>
    <row r="125" spans="2:37" ht="12.75">
      <c r="B125" s="58"/>
      <c r="C125" s="66"/>
      <c r="D125" s="66"/>
      <c r="E125" s="66"/>
      <c r="F125" s="66"/>
      <c r="G125" s="66"/>
      <c r="H125" s="66"/>
      <c r="I125" s="66"/>
      <c r="J125" s="66"/>
      <c r="K125" s="66"/>
      <c r="L125" s="66"/>
      <c r="M125" s="66"/>
      <c r="N125" s="66"/>
      <c r="O125" s="66"/>
      <c r="P125" s="66"/>
      <c r="Q125" s="66"/>
      <c r="R125" s="66"/>
      <c r="S125" s="66"/>
      <c r="T125" s="66"/>
      <c r="U125" s="66"/>
      <c r="V125" s="66"/>
      <c r="W125" s="58"/>
      <c r="X125" s="58"/>
      <c r="Y125" s="58"/>
      <c r="Z125" s="58"/>
      <c r="AA125" s="58"/>
      <c r="AB125" s="58"/>
      <c r="AC125" s="58"/>
      <c r="AD125" s="67"/>
      <c r="AE125" s="67"/>
      <c r="AF125" s="67"/>
      <c r="AG125" s="67"/>
      <c r="AH125" s="67"/>
      <c r="AI125" s="67"/>
      <c r="AJ125" s="58"/>
      <c r="AK125" s="58"/>
    </row>
    <row r="126" spans="2:37" ht="12.75">
      <c r="B126" s="58"/>
      <c r="C126" s="66"/>
      <c r="D126" s="66"/>
      <c r="E126" s="66"/>
      <c r="F126" s="66"/>
      <c r="G126" s="66"/>
      <c r="H126" s="66"/>
      <c r="I126" s="66"/>
      <c r="J126" s="66"/>
      <c r="K126" s="66"/>
      <c r="L126" s="66"/>
      <c r="M126" s="66"/>
      <c r="N126" s="66"/>
      <c r="O126" s="66"/>
      <c r="P126" s="66"/>
      <c r="Q126" s="66"/>
      <c r="R126" s="66"/>
      <c r="S126" s="66"/>
      <c r="T126" s="66"/>
      <c r="U126" s="66"/>
      <c r="V126" s="66"/>
      <c r="W126" s="58"/>
      <c r="X126" s="58"/>
      <c r="Y126" s="58"/>
      <c r="Z126" s="58"/>
      <c r="AA126" s="58"/>
      <c r="AB126" s="58"/>
      <c r="AC126" s="58"/>
      <c r="AD126" s="67"/>
      <c r="AE126" s="67"/>
      <c r="AF126" s="67"/>
      <c r="AG126" s="67"/>
      <c r="AH126" s="67"/>
      <c r="AI126" s="67"/>
      <c r="AJ126" s="58"/>
      <c r="AK126" s="58"/>
    </row>
    <row r="127" spans="2:37" ht="12.75">
      <c r="B127" s="58"/>
      <c r="C127" s="66"/>
      <c r="D127" s="66"/>
      <c r="E127" s="66"/>
      <c r="F127" s="66"/>
      <c r="G127" s="66"/>
      <c r="H127" s="66"/>
      <c r="I127" s="66"/>
      <c r="J127" s="66"/>
      <c r="K127" s="66"/>
      <c r="L127" s="66"/>
      <c r="M127" s="66"/>
      <c r="N127" s="66"/>
      <c r="O127" s="66"/>
      <c r="P127" s="66"/>
      <c r="Q127" s="66"/>
      <c r="R127" s="66"/>
      <c r="S127" s="66"/>
      <c r="T127" s="66"/>
      <c r="U127" s="66"/>
      <c r="V127" s="66"/>
      <c r="W127" s="58"/>
      <c r="X127" s="58"/>
      <c r="Y127" s="58"/>
      <c r="Z127" s="58"/>
      <c r="AA127" s="58"/>
      <c r="AB127" s="58"/>
      <c r="AC127" s="58"/>
      <c r="AD127" s="67"/>
      <c r="AE127" s="67"/>
      <c r="AF127" s="67"/>
      <c r="AG127" s="67"/>
      <c r="AH127" s="67"/>
      <c r="AI127" s="67"/>
      <c r="AJ127" s="58"/>
      <c r="AK127" s="58"/>
    </row>
  </sheetData>
  <sheetProtection/>
  <mergeCells count="6">
    <mergeCell ref="K8:N8"/>
    <mergeCell ref="O8:R8"/>
    <mergeCell ref="G8:J8"/>
    <mergeCell ref="C8:F8"/>
    <mergeCell ref="S8:V8"/>
    <mergeCell ref="C6:K6"/>
  </mergeCells>
  <printOptions/>
  <pageMargins left="0.75" right="0.75" top="1" bottom="1" header="0.5" footer="0.5"/>
  <pageSetup fitToWidth="2" horizontalDpi="600" verticalDpi="600" orientation="landscape" scale="70" r:id="rId3"/>
  <colBreaks count="1" manualBreakCount="1">
    <brk id="25" max="32" man="1"/>
  </colBreaks>
  <legacyDrawing r:id="rId2"/>
</worksheet>
</file>

<file path=xl/worksheets/sheet4.xml><?xml version="1.0" encoding="utf-8"?>
<worksheet xmlns="http://schemas.openxmlformats.org/spreadsheetml/2006/main" xmlns:r="http://schemas.openxmlformats.org/officeDocument/2006/relationships">
  <sheetPr codeName="Sheet11">
    <tabColor rgb="FF008887"/>
  </sheetPr>
  <dimension ref="A1:BG304"/>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C6" sqref="C6:K6"/>
    </sheetView>
  </sheetViews>
  <sheetFormatPr defaultColWidth="9.33203125" defaultRowHeight="12.75"/>
  <cols>
    <col min="1" max="1" width="4.16015625" style="0" customWidth="1"/>
    <col min="2" max="2" width="33.16015625" style="0" customWidth="1"/>
    <col min="3" max="3" width="8.33203125" style="40" customWidth="1"/>
    <col min="4" max="4" width="7.33203125" style="40" hidden="1" customWidth="1"/>
    <col min="5" max="7" width="8.33203125" style="40" customWidth="1"/>
    <col min="8" max="8" width="7.33203125" style="40" hidden="1" customWidth="1"/>
    <col min="9" max="11" width="8.33203125" style="40" customWidth="1"/>
    <col min="12" max="12" width="7.33203125" style="40" hidden="1" customWidth="1"/>
    <col min="13" max="15" width="8.33203125" style="40" customWidth="1"/>
    <col min="16" max="16" width="7.33203125" style="40" hidden="1" customWidth="1"/>
    <col min="17" max="17" width="8.33203125" style="40" customWidth="1"/>
    <col min="18" max="18" width="9.66015625" style="40" customWidth="1"/>
    <col min="19" max="19" width="8" style="40" customWidth="1"/>
    <col min="20" max="20" width="8" style="40" hidden="1" customWidth="1"/>
    <col min="21" max="21" width="8.66015625" style="40" customWidth="1"/>
    <col min="22" max="22" width="10.33203125" style="40" customWidth="1"/>
    <col min="23" max="23" width="8.33203125" style="40" customWidth="1"/>
    <col min="24" max="24" width="7.33203125" style="40" hidden="1" customWidth="1"/>
    <col min="25" max="27" width="8.33203125" style="40" customWidth="1"/>
    <col min="28" max="28" width="7.33203125" style="40" hidden="1" customWidth="1"/>
    <col min="29" max="29" width="8.33203125" style="40" customWidth="1"/>
    <col min="30" max="30" width="9.66015625" style="40" customWidth="1"/>
    <col min="31" max="31" width="8" style="40" customWidth="1"/>
    <col min="32" max="32" width="7.33203125" style="40" hidden="1" customWidth="1"/>
    <col min="33" max="33" width="8.66015625" style="40" customWidth="1"/>
    <col min="34" max="34" width="10.33203125" style="40" customWidth="1"/>
    <col min="35" max="35" width="10.66015625" style="0" customWidth="1"/>
    <col min="36" max="36" width="10.5" style="0" customWidth="1"/>
    <col min="37" max="37" width="33.16015625" style="0" customWidth="1"/>
    <col min="38" max="38" width="13.5" style="40" bestFit="1" customWidth="1"/>
    <col min="39" max="39" width="8.66015625" style="40" hidden="1" customWidth="1"/>
    <col min="40" max="40" width="14.83203125" style="40" bestFit="1" customWidth="1"/>
    <col min="41" max="41" width="13.16015625" style="0" customWidth="1"/>
    <col min="42" max="42" width="12.16015625" style="0" customWidth="1"/>
    <col min="43" max="43" width="10.66015625" style="0" customWidth="1"/>
    <col min="44" max="44" width="15" style="0" customWidth="1"/>
  </cols>
  <sheetData>
    <row r="1" spans="1:59" ht="12.75">
      <c r="A1" s="58"/>
      <c r="B1" s="58"/>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58"/>
      <c r="AJ1" s="58"/>
      <c r="AK1" s="58"/>
      <c r="AL1" s="66"/>
      <c r="AM1" s="66"/>
      <c r="AN1" s="66"/>
      <c r="AO1" s="58"/>
      <c r="AP1" s="58"/>
      <c r="AQ1" s="58"/>
      <c r="AR1" s="58"/>
      <c r="AS1" s="58"/>
      <c r="AT1" s="58"/>
      <c r="AU1" s="58"/>
      <c r="AV1" s="58"/>
      <c r="AW1" s="58"/>
      <c r="AX1" s="58"/>
      <c r="AY1" s="58"/>
      <c r="AZ1" s="58"/>
      <c r="BA1" s="58"/>
      <c r="BB1" s="58"/>
      <c r="BC1" s="58"/>
      <c r="BD1" s="58"/>
      <c r="BE1" s="58"/>
      <c r="BF1" s="58"/>
      <c r="BG1" s="58"/>
    </row>
    <row r="2" spans="1:59" ht="12.75">
      <c r="A2" s="58"/>
      <c r="B2" s="58"/>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58"/>
      <c r="AJ2" s="58"/>
      <c r="AK2" s="58"/>
      <c r="AL2" s="66"/>
      <c r="AM2" s="66"/>
      <c r="AN2" s="66"/>
      <c r="AO2" s="58"/>
      <c r="AP2" s="58"/>
      <c r="AQ2" s="58"/>
      <c r="AR2" s="58"/>
      <c r="AS2" s="58"/>
      <c r="AT2" s="58"/>
      <c r="AU2" s="58"/>
      <c r="AV2" s="58"/>
      <c r="AW2" s="58"/>
      <c r="AX2" s="58"/>
      <c r="AY2" s="58"/>
      <c r="AZ2" s="58"/>
      <c r="BA2" s="58"/>
      <c r="BB2" s="58"/>
      <c r="BC2" s="58"/>
      <c r="BD2" s="58"/>
      <c r="BE2" s="58"/>
      <c r="BF2" s="58"/>
      <c r="BG2" s="58"/>
    </row>
    <row r="3" spans="1:59" ht="30">
      <c r="A3" s="58"/>
      <c r="B3" s="55" t="s">
        <v>160</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58"/>
      <c r="AJ3" s="58"/>
      <c r="AK3" s="61" t="s">
        <v>147</v>
      </c>
      <c r="AL3" s="66"/>
      <c r="AM3" s="66"/>
      <c r="AN3" s="66"/>
      <c r="AO3" s="58"/>
      <c r="AP3" s="58"/>
      <c r="AQ3" s="58"/>
      <c r="AR3" s="58"/>
      <c r="AS3" s="58"/>
      <c r="AT3" s="58"/>
      <c r="AU3" s="58"/>
      <c r="AV3" s="58"/>
      <c r="AW3" s="58"/>
      <c r="AX3" s="58"/>
      <c r="AY3" s="58"/>
      <c r="AZ3" s="58"/>
      <c r="BA3" s="58"/>
      <c r="BB3" s="58"/>
      <c r="BC3" s="58"/>
      <c r="BD3" s="58"/>
      <c r="BE3" s="58"/>
      <c r="BF3" s="58"/>
      <c r="BG3" s="58"/>
    </row>
    <row r="4" spans="1:59" ht="13.5">
      <c r="A4" s="58"/>
      <c r="B4" s="68" t="s">
        <v>73</v>
      </c>
      <c r="C4" s="70"/>
      <c r="D4" s="70"/>
      <c r="E4" s="70"/>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58"/>
      <c r="AJ4" s="58"/>
      <c r="AK4" s="58"/>
      <c r="AL4" s="66"/>
      <c r="AM4" s="66"/>
      <c r="AN4" s="66"/>
      <c r="AO4" s="58"/>
      <c r="AP4" s="58"/>
      <c r="AQ4" s="58"/>
      <c r="AR4" s="58"/>
      <c r="AS4" s="58"/>
      <c r="AT4" s="58"/>
      <c r="AU4" s="58"/>
      <c r="AV4" s="58"/>
      <c r="AW4" s="58"/>
      <c r="AX4" s="58"/>
      <c r="AY4" s="58"/>
      <c r="AZ4" s="58"/>
      <c r="BA4" s="58"/>
      <c r="BB4" s="58"/>
      <c r="BC4" s="58"/>
      <c r="BD4" s="58"/>
      <c r="BE4" s="58"/>
      <c r="BF4" s="58"/>
      <c r="BG4" s="58"/>
    </row>
    <row r="5" spans="1:59" ht="12.75">
      <c r="A5" s="58"/>
      <c r="B5" s="60"/>
      <c r="C5" s="70"/>
      <c r="D5" s="70"/>
      <c r="E5" s="70"/>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58"/>
      <c r="AJ5" s="58"/>
      <c r="AK5" s="58"/>
      <c r="AL5" s="66"/>
      <c r="AM5" s="66"/>
      <c r="AN5" s="66"/>
      <c r="AO5" s="58"/>
      <c r="AP5" s="58"/>
      <c r="AQ5" s="58"/>
      <c r="AR5" s="58"/>
      <c r="AS5" s="58"/>
      <c r="AT5" s="58"/>
      <c r="AU5" s="58"/>
      <c r="AV5" s="58"/>
      <c r="AW5" s="58"/>
      <c r="AX5" s="58"/>
      <c r="AY5" s="58"/>
      <c r="AZ5" s="58"/>
      <c r="BA5" s="58"/>
      <c r="BB5" s="58"/>
      <c r="BC5" s="58"/>
      <c r="BD5" s="58"/>
      <c r="BE5" s="58"/>
      <c r="BF5" s="58"/>
      <c r="BG5" s="58"/>
    </row>
    <row r="6" spans="1:59" ht="12.75" customHeight="1">
      <c r="A6" s="58"/>
      <c r="B6" s="69" t="s">
        <v>72</v>
      </c>
      <c r="C6" s="398" t="s">
        <v>149</v>
      </c>
      <c r="D6" s="398"/>
      <c r="E6" s="398"/>
      <c r="F6" s="398"/>
      <c r="G6" s="398"/>
      <c r="H6" s="398"/>
      <c r="I6" s="398"/>
      <c r="J6" s="398"/>
      <c r="K6" s="398"/>
      <c r="L6" s="180"/>
      <c r="M6" s="66"/>
      <c r="N6" s="66"/>
      <c r="O6" s="66"/>
      <c r="P6" s="66"/>
      <c r="Q6" s="66"/>
      <c r="R6" s="66"/>
      <c r="S6" s="66"/>
      <c r="T6" s="66"/>
      <c r="U6" s="66"/>
      <c r="V6" s="66"/>
      <c r="W6" s="66"/>
      <c r="X6" s="66"/>
      <c r="Y6" s="66"/>
      <c r="Z6" s="66"/>
      <c r="AA6" s="66"/>
      <c r="AB6" s="66"/>
      <c r="AC6" s="66"/>
      <c r="AD6" s="66"/>
      <c r="AE6" s="66"/>
      <c r="AF6" s="66"/>
      <c r="AG6" s="66"/>
      <c r="AH6" s="66"/>
      <c r="AI6" s="58"/>
      <c r="AJ6" s="58"/>
      <c r="AK6" s="58"/>
      <c r="AL6" s="66"/>
      <c r="AM6" s="66"/>
      <c r="AN6" s="66"/>
      <c r="AO6" s="58"/>
      <c r="AP6" s="58"/>
      <c r="AQ6" s="58"/>
      <c r="AR6" s="58"/>
      <c r="AS6" s="58"/>
      <c r="AT6" s="58"/>
      <c r="AU6" s="58"/>
      <c r="AV6" s="58"/>
      <c r="AW6" s="58"/>
      <c r="AX6" s="58"/>
      <c r="AY6" s="58"/>
      <c r="AZ6" s="58"/>
      <c r="BA6" s="58"/>
      <c r="BB6" s="58"/>
      <c r="BC6" s="58"/>
      <c r="BD6" s="58"/>
      <c r="BE6" s="58"/>
      <c r="BF6" s="58"/>
      <c r="BG6" s="58"/>
    </row>
    <row r="7" spans="1:59" ht="12.75" customHeight="1" thickBot="1">
      <c r="A7" s="58"/>
      <c r="B7" s="60"/>
      <c r="C7" s="70"/>
      <c r="D7" s="70"/>
      <c r="E7" s="70"/>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58"/>
      <c r="AJ7" s="58"/>
      <c r="AK7" s="58"/>
      <c r="AL7" s="66"/>
      <c r="AM7" s="66"/>
      <c r="AN7" s="66"/>
      <c r="AO7" s="58"/>
      <c r="AP7" s="58"/>
      <c r="AQ7" s="58"/>
      <c r="AR7" s="58"/>
      <c r="AS7" s="58"/>
      <c r="AT7" s="58"/>
      <c r="AU7" s="58"/>
      <c r="AV7" s="58"/>
      <c r="AW7" s="58"/>
      <c r="AX7" s="58"/>
      <c r="AY7" s="58"/>
      <c r="AZ7" s="58"/>
      <c r="BA7" s="58"/>
      <c r="BB7" s="58"/>
      <c r="BC7" s="58"/>
      <c r="BD7" s="58"/>
      <c r="BE7" s="58"/>
      <c r="BF7" s="58"/>
      <c r="BG7" s="58"/>
    </row>
    <row r="8" spans="1:59" s="14" customFormat="1" ht="12">
      <c r="A8" s="63"/>
      <c r="B8" s="12"/>
      <c r="C8" s="41" t="s">
        <v>136</v>
      </c>
      <c r="D8" s="148"/>
      <c r="E8" s="148"/>
      <c r="F8" s="149"/>
      <c r="G8" s="41" t="s">
        <v>123</v>
      </c>
      <c r="H8" s="148"/>
      <c r="I8" s="148"/>
      <c r="J8" s="149"/>
      <c r="K8" s="41" t="s">
        <v>137</v>
      </c>
      <c r="L8" s="148"/>
      <c r="M8" s="148"/>
      <c r="N8" s="149"/>
      <c r="O8" s="41" t="s">
        <v>155</v>
      </c>
      <c r="P8" s="148"/>
      <c r="Q8" s="148"/>
      <c r="R8" s="149"/>
      <c r="S8" s="41" t="s">
        <v>221</v>
      </c>
      <c r="T8" s="148"/>
      <c r="U8" s="148"/>
      <c r="V8" s="149"/>
      <c r="W8" s="41" t="s">
        <v>222</v>
      </c>
      <c r="X8" s="148"/>
      <c r="Y8" s="148"/>
      <c r="Z8" s="149"/>
      <c r="AA8" s="41" t="s">
        <v>223</v>
      </c>
      <c r="AB8" s="148"/>
      <c r="AC8" s="148"/>
      <c r="AD8" s="149"/>
      <c r="AE8" s="41" t="s">
        <v>224</v>
      </c>
      <c r="AF8" s="148"/>
      <c r="AG8" s="148"/>
      <c r="AH8" s="149"/>
      <c r="AI8" s="150" t="s">
        <v>69</v>
      </c>
      <c r="AJ8" s="151"/>
      <c r="AK8" s="13"/>
      <c r="AL8" s="41" t="s">
        <v>62</v>
      </c>
      <c r="AM8" s="41"/>
      <c r="AN8" s="41"/>
      <c r="AO8" s="13"/>
      <c r="AP8" s="13"/>
      <c r="AQ8" s="13"/>
      <c r="AR8" s="13"/>
      <c r="AS8" s="63"/>
      <c r="AT8" s="63"/>
      <c r="AU8" s="63"/>
      <c r="AV8" s="63"/>
      <c r="AW8" s="63"/>
      <c r="AX8" s="63"/>
      <c r="AY8" s="63"/>
      <c r="AZ8" s="63"/>
      <c r="BA8" s="63"/>
      <c r="BB8" s="63"/>
      <c r="BC8" s="63"/>
      <c r="BD8" s="63"/>
      <c r="BE8" s="63"/>
      <c r="BF8" s="63"/>
      <c r="BG8" s="63"/>
    </row>
    <row r="9" spans="1:59" s="18" customFormat="1" ht="38.25">
      <c r="A9" s="64"/>
      <c r="B9" s="15" t="s">
        <v>135</v>
      </c>
      <c r="C9" s="42" t="s">
        <v>57</v>
      </c>
      <c r="D9" s="42" t="s">
        <v>230</v>
      </c>
      <c r="E9" s="42" t="s">
        <v>124</v>
      </c>
      <c r="F9" s="42" t="s">
        <v>195</v>
      </c>
      <c r="G9" s="42" t="s">
        <v>57</v>
      </c>
      <c r="H9" s="42" t="s">
        <v>230</v>
      </c>
      <c r="I9" s="42" t="s">
        <v>124</v>
      </c>
      <c r="J9" s="42" t="s">
        <v>195</v>
      </c>
      <c r="K9" s="42" t="s">
        <v>57</v>
      </c>
      <c r="L9" s="42" t="s">
        <v>230</v>
      </c>
      <c r="M9" s="42" t="s">
        <v>124</v>
      </c>
      <c r="N9" s="42" t="s">
        <v>195</v>
      </c>
      <c r="O9" s="42" t="s">
        <v>57</v>
      </c>
      <c r="P9" s="42" t="s">
        <v>230</v>
      </c>
      <c r="Q9" s="42" t="s">
        <v>124</v>
      </c>
      <c r="R9" s="42" t="s">
        <v>195</v>
      </c>
      <c r="S9" s="42" t="s">
        <v>57</v>
      </c>
      <c r="T9" s="42" t="s">
        <v>230</v>
      </c>
      <c r="U9" s="42" t="s">
        <v>124</v>
      </c>
      <c r="V9" s="42" t="s">
        <v>195</v>
      </c>
      <c r="W9" s="42" t="s">
        <v>57</v>
      </c>
      <c r="X9" s="42" t="s">
        <v>230</v>
      </c>
      <c r="Y9" s="42" t="s">
        <v>124</v>
      </c>
      <c r="Z9" s="42" t="s">
        <v>195</v>
      </c>
      <c r="AA9" s="42" t="s">
        <v>57</v>
      </c>
      <c r="AB9" s="42" t="s">
        <v>230</v>
      </c>
      <c r="AC9" s="42" t="s">
        <v>124</v>
      </c>
      <c r="AD9" s="42" t="s">
        <v>195</v>
      </c>
      <c r="AE9" s="42" t="s">
        <v>57</v>
      </c>
      <c r="AF9" s="42" t="s">
        <v>230</v>
      </c>
      <c r="AG9" s="42" t="s">
        <v>124</v>
      </c>
      <c r="AH9" s="42" t="s">
        <v>195</v>
      </c>
      <c r="AI9" s="17" t="s">
        <v>138</v>
      </c>
      <c r="AJ9" s="17" t="s">
        <v>139</v>
      </c>
      <c r="AK9" s="15" t="s">
        <v>135</v>
      </c>
      <c r="AL9" s="43" t="s">
        <v>124</v>
      </c>
      <c r="AM9" s="42" t="s">
        <v>244</v>
      </c>
      <c r="AN9" s="42" t="s">
        <v>195</v>
      </c>
      <c r="AO9" s="17" t="s">
        <v>140</v>
      </c>
      <c r="AP9" s="17" t="s">
        <v>141</v>
      </c>
      <c r="AQ9" s="17" t="s">
        <v>199</v>
      </c>
      <c r="AR9" s="17" t="s">
        <v>200</v>
      </c>
      <c r="AS9" s="64"/>
      <c r="AT9" s="64"/>
      <c r="AU9" s="64"/>
      <c r="AV9" s="64"/>
      <c r="AW9" s="64"/>
      <c r="AX9" s="64"/>
      <c r="AY9" s="64"/>
      <c r="AZ9" s="64"/>
      <c r="BA9" s="64"/>
      <c r="BB9" s="64"/>
      <c r="BC9" s="64"/>
      <c r="BD9" s="64"/>
      <c r="BE9" s="64"/>
      <c r="BF9" s="64"/>
      <c r="BG9" s="64"/>
    </row>
    <row r="10" spans="1:59" s="27" customFormat="1" ht="11.25">
      <c r="A10" s="65"/>
      <c r="B10" s="23"/>
      <c r="C10" s="24"/>
      <c r="D10" s="52" t="e">
        <f>C10*(HLOOKUP("Gasoline",'Energy Conv Factors'!$A$6:$M$17,'General Info'!$E$7,FALSE))/1000</f>
        <v>#VALUE!</v>
      </c>
      <c r="E10" s="51"/>
      <c r="F10" s="52">
        <f aca="true" t="shared" si="0" ref="F10:F53">(C10*gasco2)</f>
        <v>0</v>
      </c>
      <c r="G10" s="24"/>
      <c r="H10" s="52" t="e">
        <f>G10*(HLOOKUP("Diesel",'Energy Conv Factors'!$A$6:$M$17,'General Info'!$E$7,FALSE))/1000</f>
        <v>#VALUE!</v>
      </c>
      <c r="I10" s="51"/>
      <c r="J10" s="52">
        <f aca="true" t="shared" si="1" ref="J10:J53">(G10*dieselco2)</f>
        <v>0</v>
      </c>
      <c r="K10" s="24"/>
      <c r="L10" s="52" t="e">
        <f>K10*(HLOOKUP("Propane",'Energy Conv Factors'!$A$6:$M$17,'General Info'!$E$7,FALSE))/1000</f>
        <v>#VALUE!</v>
      </c>
      <c r="M10" s="51"/>
      <c r="N10" s="52">
        <f aca="true" t="shared" si="2" ref="N10:N53">(K10*propaneco2)</f>
        <v>0</v>
      </c>
      <c r="O10" s="24"/>
      <c r="P10" s="52" t="e">
        <f>O10*(HLOOKUP("CNG",'Energy Conv Factors'!$A$6:$M$17,'General Info'!$E$7,FALSE))/1000</f>
        <v>#VALUE!</v>
      </c>
      <c r="Q10" s="51"/>
      <c r="R10" s="52">
        <f aca="true" t="shared" si="3" ref="R10:R53">(O10*cngco2)</f>
        <v>0</v>
      </c>
      <c r="S10" s="24"/>
      <c r="T10" s="52" t="e">
        <f>S10*(HLOOKUP("Ethanol Blend (10%)",'Energy Conv Factors'!$A$6:$M$17,'General Info'!$E$7,FALSE))/1000</f>
        <v>#VALUE!</v>
      </c>
      <c r="U10" s="51"/>
      <c r="V10" s="52">
        <f aca="true" t="shared" si="4" ref="V10:V53">(S10*ethanolco2)</f>
        <v>0</v>
      </c>
      <c r="W10" s="24"/>
      <c r="X10" s="52" t="e">
        <f>W10*(HLOOKUP("Biodiesel (B5)",'Energy Conv Factors'!$A$6:$M$17,'General Info'!$E$7,FALSE))/1000</f>
        <v>#VALUE!</v>
      </c>
      <c r="Y10" s="51"/>
      <c r="Z10" s="52">
        <f aca="true" t="shared" si="5" ref="Z10:Z53">(W10*biodiesel5)</f>
        <v>0</v>
      </c>
      <c r="AA10" s="24"/>
      <c r="AB10" s="52" t="e">
        <f>AA10*(HLOOKUP("Biodiesel (B10)",'Energy Conv Factors'!$A$6:$M$17,'General Info'!$E$7,FALSE))/1000</f>
        <v>#VALUE!</v>
      </c>
      <c r="AC10" s="51"/>
      <c r="AD10" s="52">
        <f aca="true" t="shared" si="6" ref="AD10:AD53">(AA10*biodiesel10)</f>
        <v>0</v>
      </c>
      <c r="AE10" s="24"/>
      <c r="AF10" s="52" t="e">
        <f>AE10*(HLOOKUP("Biodiesel (B20)",'Energy Conv Factors'!$A$6:$M$17,'General Info'!$E$7,FALSE))/1000</f>
        <v>#VALUE!</v>
      </c>
      <c r="AG10" s="51"/>
      <c r="AH10" s="52">
        <f aca="true" t="shared" si="7" ref="AH10:AH53">(AE10*biodiesel20)</f>
        <v>0</v>
      </c>
      <c r="AI10" s="53"/>
      <c r="AJ10" s="53"/>
      <c r="AK10" s="23">
        <f>B10</f>
        <v>0</v>
      </c>
      <c r="AL10" s="25">
        <f>AG10+AC10+Y10+U10+Q10+M10+I10+E10</f>
        <v>0</v>
      </c>
      <c r="AM10" s="52" t="e">
        <f>AF10+AB10+X10+T10+P10+L10+H10+D10</f>
        <v>#VALUE!</v>
      </c>
      <c r="AN10" s="52">
        <f>AH10+AD10+Z10+V10+R10+N10+J10+F10</f>
        <v>0</v>
      </c>
      <c r="AO10" s="26" t="e">
        <f>AL10/AI10</f>
        <v>#DIV/0!</v>
      </c>
      <c r="AP10" s="26" t="e">
        <f>AL10/AJ10</f>
        <v>#DIV/0!</v>
      </c>
      <c r="AQ10" s="26" t="e">
        <f>AL10/AI10</f>
        <v>#DIV/0!</v>
      </c>
      <c r="AR10" s="26" t="e">
        <f>AN10/AJ10</f>
        <v>#DIV/0!</v>
      </c>
      <c r="AS10" s="65"/>
      <c r="AT10" s="65"/>
      <c r="AU10" s="65"/>
      <c r="AV10" s="65"/>
      <c r="AW10" s="65"/>
      <c r="AX10" s="65"/>
      <c r="AY10" s="65"/>
      <c r="AZ10" s="65"/>
      <c r="BA10" s="65"/>
      <c r="BB10" s="65"/>
      <c r="BC10" s="65"/>
      <c r="BD10" s="65"/>
      <c r="BE10" s="65"/>
      <c r="BF10" s="65"/>
      <c r="BG10" s="65"/>
    </row>
    <row r="11" spans="1:59" s="27" customFormat="1" ht="11.25">
      <c r="A11" s="65"/>
      <c r="B11" s="23"/>
      <c r="C11" s="24"/>
      <c r="D11" s="52" t="e">
        <f>C11*(HLOOKUP("Gasoline",'Energy Conv Factors'!$A$6:$M$17,'General Info'!$E$7,FALSE))/1000</f>
        <v>#VALUE!</v>
      </c>
      <c r="E11" s="51"/>
      <c r="F11" s="52">
        <f t="shared" si="0"/>
        <v>0</v>
      </c>
      <c r="G11" s="24"/>
      <c r="H11" s="52" t="e">
        <f>G11*(HLOOKUP("Diesel",'Energy Conv Factors'!$A$6:$M$17,'General Info'!$E$7,FALSE))/1000</f>
        <v>#VALUE!</v>
      </c>
      <c r="I11" s="51"/>
      <c r="J11" s="52">
        <f t="shared" si="1"/>
        <v>0</v>
      </c>
      <c r="K11" s="24"/>
      <c r="L11" s="52" t="e">
        <f>K11*(HLOOKUP("Propane",'Energy Conv Factors'!$A$6:$M$17,'General Info'!$E$7,FALSE))/1000</f>
        <v>#VALUE!</v>
      </c>
      <c r="M11" s="51"/>
      <c r="N11" s="52">
        <f t="shared" si="2"/>
        <v>0</v>
      </c>
      <c r="O11" s="24"/>
      <c r="P11" s="52" t="e">
        <f>O11*(HLOOKUP("CNG",'Energy Conv Factors'!$A$6:$M$17,'General Info'!$E$7,FALSE))/1000</f>
        <v>#VALUE!</v>
      </c>
      <c r="Q11" s="51"/>
      <c r="R11" s="52">
        <f t="shared" si="3"/>
        <v>0</v>
      </c>
      <c r="S11" s="24"/>
      <c r="T11" s="52" t="e">
        <f>S11*(HLOOKUP("Ethanol Blend (10%)",'Energy Conv Factors'!$A$6:$M$17,'General Info'!$E$7,FALSE))/1000</f>
        <v>#VALUE!</v>
      </c>
      <c r="U11" s="51"/>
      <c r="V11" s="52">
        <f t="shared" si="4"/>
        <v>0</v>
      </c>
      <c r="W11" s="24"/>
      <c r="X11" s="52" t="e">
        <f>W11*(HLOOKUP("Biodiesel (B5)",'Energy Conv Factors'!$A$6:$M$17,'General Info'!$E$7,FALSE))/1000</f>
        <v>#VALUE!</v>
      </c>
      <c r="Y11" s="51"/>
      <c r="Z11" s="52">
        <f t="shared" si="5"/>
        <v>0</v>
      </c>
      <c r="AA11" s="24"/>
      <c r="AB11" s="52" t="e">
        <f>AA11*(HLOOKUP("Biodiesel (B10)",'Energy Conv Factors'!$A$6:$M$17,'General Info'!$E$7,FALSE))/1000</f>
        <v>#VALUE!</v>
      </c>
      <c r="AC11" s="51"/>
      <c r="AD11" s="52">
        <f t="shared" si="6"/>
        <v>0</v>
      </c>
      <c r="AE11" s="24"/>
      <c r="AF11" s="52" t="e">
        <f>AE11*(HLOOKUP("Biodiesel (B20)",'Energy Conv Factors'!$A$6:$M$17,'General Info'!$E$7,FALSE))/1000</f>
        <v>#VALUE!</v>
      </c>
      <c r="AG11" s="51"/>
      <c r="AH11" s="52">
        <f t="shared" si="7"/>
        <v>0</v>
      </c>
      <c r="AI11" s="53"/>
      <c r="AJ11" s="53"/>
      <c r="AK11" s="23">
        <f aca="true" t="shared" si="8" ref="AK11:AK53">B11</f>
        <v>0</v>
      </c>
      <c r="AL11" s="25">
        <f aca="true" t="shared" si="9" ref="AL11:AL53">AG11+AC11+Y11+U11+Q11+M11+I11+E11</f>
        <v>0</v>
      </c>
      <c r="AM11" s="52" t="e">
        <f aca="true" t="shared" si="10" ref="AM11:AM53">AF11+AB11+X11+T11+P11+L11+H11+D11</f>
        <v>#VALUE!</v>
      </c>
      <c r="AN11" s="52">
        <f aca="true" t="shared" si="11" ref="AN11:AN53">AH11+AD11+Z11+V11+R11+N11+J11+F11</f>
        <v>0</v>
      </c>
      <c r="AO11" s="26" t="e">
        <f aca="true" t="shared" si="12" ref="AO11:AO53">AL11/AI11</f>
        <v>#DIV/0!</v>
      </c>
      <c r="AP11" s="26" t="e">
        <f aca="true" t="shared" si="13" ref="AP11:AP53">AL11/AJ11</f>
        <v>#DIV/0!</v>
      </c>
      <c r="AQ11" s="26" t="e">
        <f aca="true" t="shared" si="14" ref="AQ11:AQ27">AL11/AI11</f>
        <v>#DIV/0!</v>
      </c>
      <c r="AR11" s="26" t="e">
        <f aca="true" t="shared" si="15" ref="AR11:AR53">AN11/AJ11</f>
        <v>#DIV/0!</v>
      </c>
      <c r="AS11" s="65"/>
      <c r="AT11" s="65"/>
      <c r="AU11" s="65"/>
      <c r="AV11" s="65"/>
      <c r="AW11" s="65"/>
      <c r="AX11" s="65"/>
      <c r="AY11" s="65"/>
      <c r="AZ11" s="65"/>
      <c r="BA11" s="65"/>
      <c r="BB11" s="65"/>
      <c r="BC11" s="65"/>
      <c r="BD11" s="65"/>
      <c r="BE11" s="65"/>
      <c r="BF11" s="65"/>
      <c r="BG11" s="65"/>
    </row>
    <row r="12" spans="1:59" s="27" customFormat="1" ht="11.25">
      <c r="A12" s="65"/>
      <c r="B12" s="23"/>
      <c r="C12" s="24"/>
      <c r="D12" s="52" t="e">
        <f>C12*(HLOOKUP("Gasoline",'Energy Conv Factors'!$A$6:$M$17,'General Info'!$E$7,FALSE))/1000</f>
        <v>#VALUE!</v>
      </c>
      <c r="E12" s="51"/>
      <c r="F12" s="52">
        <f t="shared" si="0"/>
        <v>0</v>
      </c>
      <c r="G12" s="24"/>
      <c r="H12" s="52" t="e">
        <f>G12*(HLOOKUP("Diesel",'Energy Conv Factors'!$A$6:$M$17,'General Info'!$E$7,FALSE))/1000</f>
        <v>#VALUE!</v>
      </c>
      <c r="I12" s="51"/>
      <c r="J12" s="52">
        <f t="shared" si="1"/>
        <v>0</v>
      </c>
      <c r="K12" s="24"/>
      <c r="L12" s="52" t="e">
        <f>K12*(HLOOKUP("Propane",'Energy Conv Factors'!$A$6:$M$17,'General Info'!$E$7,FALSE))/1000</f>
        <v>#VALUE!</v>
      </c>
      <c r="M12" s="51"/>
      <c r="N12" s="52">
        <f t="shared" si="2"/>
        <v>0</v>
      </c>
      <c r="O12" s="24"/>
      <c r="P12" s="52" t="e">
        <f>O12*(HLOOKUP("CNG",'Energy Conv Factors'!$A$6:$M$17,'General Info'!$E$7,FALSE))/1000</f>
        <v>#VALUE!</v>
      </c>
      <c r="Q12" s="51"/>
      <c r="R12" s="52">
        <f t="shared" si="3"/>
        <v>0</v>
      </c>
      <c r="S12" s="24"/>
      <c r="T12" s="52" t="e">
        <f>S12*(HLOOKUP("Ethanol Blend (10%)",'Energy Conv Factors'!$A$6:$M$17,'General Info'!$E$7,FALSE))/1000</f>
        <v>#VALUE!</v>
      </c>
      <c r="U12" s="51"/>
      <c r="V12" s="52">
        <f t="shared" si="4"/>
        <v>0</v>
      </c>
      <c r="W12" s="24"/>
      <c r="X12" s="52" t="e">
        <f>W12*(HLOOKUP("Biodiesel (B5)",'Energy Conv Factors'!$A$6:$M$17,'General Info'!$E$7,FALSE))/1000</f>
        <v>#VALUE!</v>
      </c>
      <c r="Y12" s="51"/>
      <c r="Z12" s="52">
        <f t="shared" si="5"/>
        <v>0</v>
      </c>
      <c r="AA12" s="24"/>
      <c r="AB12" s="52" t="e">
        <f>AA12*(HLOOKUP("Biodiesel (B10)",'Energy Conv Factors'!$A$6:$M$17,'General Info'!$E$7,FALSE))/1000</f>
        <v>#VALUE!</v>
      </c>
      <c r="AC12" s="51"/>
      <c r="AD12" s="52">
        <f t="shared" si="6"/>
        <v>0</v>
      </c>
      <c r="AE12" s="24"/>
      <c r="AF12" s="52" t="e">
        <f>AE12*(HLOOKUP("Biodiesel (B20)",'Energy Conv Factors'!$A$6:$M$17,'General Info'!$E$7,FALSE))/1000</f>
        <v>#VALUE!</v>
      </c>
      <c r="AG12" s="51"/>
      <c r="AH12" s="52">
        <f t="shared" si="7"/>
        <v>0</v>
      </c>
      <c r="AI12" s="53"/>
      <c r="AJ12" s="53"/>
      <c r="AK12" s="23">
        <f t="shared" si="8"/>
        <v>0</v>
      </c>
      <c r="AL12" s="25">
        <f t="shared" si="9"/>
        <v>0</v>
      </c>
      <c r="AM12" s="52" t="e">
        <f t="shared" si="10"/>
        <v>#VALUE!</v>
      </c>
      <c r="AN12" s="52">
        <f t="shared" si="11"/>
        <v>0</v>
      </c>
      <c r="AO12" s="26" t="e">
        <f t="shared" si="12"/>
        <v>#DIV/0!</v>
      </c>
      <c r="AP12" s="26" t="e">
        <f t="shared" si="13"/>
        <v>#DIV/0!</v>
      </c>
      <c r="AQ12" s="26" t="e">
        <f t="shared" si="14"/>
        <v>#DIV/0!</v>
      </c>
      <c r="AR12" s="26" t="e">
        <f t="shared" si="15"/>
        <v>#DIV/0!</v>
      </c>
      <c r="AS12" s="65"/>
      <c r="AT12" s="65"/>
      <c r="AU12" s="65"/>
      <c r="AV12" s="65"/>
      <c r="AW12" s="65"/>
      <c r="AX12" s="65"/>
      <c r="AY12" s="65"/>
      <c r="AZ12" s="65"/>
      <c r="BA12" s="65"/>
      <c r="BB12" s="65"/>
      <c r="BC12" s="65"/>
      <c r="BD12" s="65"/>
      <c r="BE12" s="65"/>
      <c r="BF12" s="65"/>
      <c r="BG12" s="65"/>
    </row>
    <row r="13" spans="1:59" s="27" customFormat="1" ht="11.25">
      <c r="A13" s="65"/>
      <c r="B13" s="23"/>
      <c r="C13" s="24"/>
      <c r="D13" s="52" t="e">
        <f>C13*(HLOOKUP("Gasoline",'Energy Conv Factors'!$A$6:$M$17,'General Info'!$E$7,FALSE))/1000</f>
        <v>#VALUE!</v>
      </c>
      <c r="E13" s="51"/>
      <c r="F13" s="52">
        <f t="shared" si="0"/>
        <v>0</v>
      </c>
      <c r="G13" s="24"/>
      <c r="H13" s="52" t="e">
        <f>G13*(HLOOKUP("Diesel",'Energy Conv Factors'!$A$6:$M$17,'General Info'!$E$7,FALSE))/1000</f>
        <v>#VALUE!</v>
      </c>
      <c r="I13" s="51"/>
      <c r="J13" s="52">
        <f t="shared" si="1"/>
        <v>0</v>
      </c>
      <c r="K13" s="24"/>
      <c r="L13" s="52" t="e">
        <f>K13*(HLOOKUP("Propane",'Energy Conv Factors'!$A$6:$M$17,'General Info'!$E$7,FALSE))/1000</f>
        <v>#VALUE!</v>
      </c>
      <c r="M13" s="51"/>
      <c r="N13" s="52">
        <f t="shared" si="2"/>
        <v>0</v>
      </c>
      <c r="O13" s="24"/>
      <c r="P13" s="52" t="e">
        <f>O13*(HLOOKUP("CNG",'Energy Conv Factors'!$A$6:$M$17,'General Info'!$E$7,FALSE))/1000</f>
        <v>#VALUE!</v>
      </c>
      <c r="Q13" s="51"/>
      <c r="R13" s="52">
        <f t="shared" si="3"/>
        <v>0</v>
      </c>
      <c r="S13" s="24"/>
      <c r="T13" s="52" t="e">
        <f>S13*(HLOOKUP("Ethanol Blend (10%)",'Energy Conv Factors'!$A$6:$M$17,'General Info'!$E$7,FALSE))/1000</f>
        <v>#VALUE!</v>
      </c>
      <c r="U13" s="51"/>
      <c r="V13" s="52">
        <f t="shared" si="4"/>
        <v>0</v>
      </c>
      <c r="W13" s="24"/>
      <c r="X13" s="52" t="e">
        <f>W13*(HLOOKUP("Biodiesel (B5)",'Energy Conv Factors'!$A$6:$M$17,'General Info'!$E$7,FALSE))/1000</f>
        <v>#VALUE!</v>
      </c>
      <c r="Y13" s="51"/>
      <c r="Z13" s="52">
        <f t="shared" si="5"/>
        <v>0</v>
      </c>
      <c r="AA13" s="24"/>
      <c r="AB13" s="52" t="e">
        <f>AA13*(HLOOKUP("Biodiesel (B10)",'Energy Conv Factors'!$A$6:$M$17,'General Info'!$E$7,FALSE))/1000</f>
        <v>#VALUE!</v>
      </c>
      <c r="AC13" s="51"/>
      <c r="AD13" s="52">
        <f t="shared" si="6"/>
        <v>0</v>
      </c>
      <c r="AE13" s="24"/>
      <c r="AF13" s="52" t="e">
        <f>AE13*(HLOOKUP("Biodiesel (B20)",'Energy Conv Factors'!$A$6:$M$17,'General Info'!$E$7,FALSE))/1000</f>
        <v>#VALUE!</v>
      </c>
      <c r="AG13" s="51"/>
      <c r="AH13" s="52">
        <f t="shared" si="7"/>
        <v>0</v>
      </c>
      <c r="AI13" s="53"/>
      <c r="AJ13" s="53"/>
      <c r="AK13" s="23">
        <f t="shared" si="8"/>
        <v>0</v>
      </c>
      <c r="AL13" s="25">
        <f t="shared" si="9"/>
        <v>0</v>
      </c>
      <c r="AM13" s="52" t="e">
        <f t="shared" si="10"/>
        <v>#VALUE!</v>
      </c>
      <c r="AN13" s="52">
        <f t="shared" si="11"/>
        <v>0</v>
      </c>
      <c r="AO13" s="26" t="e">
        <f t="shared" si="12"/>
        <v>#DIV/0!</v>
      </c>
      <c r="AP13" s="26" t="e">
        <f t="shared" si="13"/>
        <v>#DIV/0!</v>
      </c>
      <c r="AQ13" s="26" t="e">
        <f t="shared" si="14"/>
        <v>#DIV/0!</v>
      </c>
      <c r="AR13" s="26" t="e">
        <f t="shared" si="15"/>
        <v>#DIV/0!</v>
      </c>
      <c r="AS13" s="65"/>
      <c r="AT13" s="65"/>
      <c r="AU13" s="65"/>
      <c r="AV13" s="65"/>
      <c r="AW13" s="65"/>
      <c r="AX13" s="65"/>
      <c r="AY13" s="65"/>
      <c r="AZ13" s="65"/>
      <c r="BA13" s="65"/>
      <c r="BB13" s="65"/>
      <c r="BC13" s="65"/>
      <c r="BD13" s="65"/>
      <c r="BE13" s="65"/>
      <c r="BF13" s="65"/>
      <c r="BG13" s="65"/>
    </row>
    <row r="14" spans="1:59" s="27" customFormat="1" ht="11.25">
      <c r="A14" s="65"/>
      <c r="B14" s="23"/>
      <c r="C14" s="24"/>
      <c r="D14" s="52" t="e">
        <f>C14*(HLOOKUP("Gasoline",'Energy Conv Factors'!$A$6:$M$17,'General Info'!$E$7,FALSE))/1000</f>
        <v>#VALUE!</v>
      </c>
      <c r="E14" s="51"/>
      <c r="F14" s="52">
        <f t="shared" si="0"/>
        <v>0</v>
      </c>
      <c r="G14" s="24"/>
      <c r="H14" s="52" t="e">
        <f>G14*(HLOOKUP("Diesel",'Energy Conv Factors'!$A$6:$M$17,'General Info'!$E$7,FALSE))/1000</f>
        <v>#VALUE!</v>
      </c>
      <c r="I14" s="51"/>
      <c r="J14" s="52">
        <f t="shared" si="1"/>
        <v>0</v>
      </c>
      <c r="K14" s="24"/>
      <c r="L14" s="52" t="e">
        <f>K14*(HLOOKUP("Propane",'Energy Conv Factors'!$A$6:$M$17,'General Info'!$E$7,FALSE))/1000</f>
        <v>#VALUE!</v>
      </c>
      <c r="M14" s="51"/>
      <c r="N14" s="52">
        <f t="shared" si="2"/>
        <v>0</v>
      </c>
      <c r="O14" s="24"/>
      <c r="P14" s="52" t="e">
        <f>O14*(HLOOKUP("CNG",'Energy Conv Factors'!$A$6:$M$17,'General Info'!$E$7,FALSE))/1000</f>
        <v>#VALUE!</v>
      </c>
      <c r="Q14" s="51"/>
      <c r="R14" s="52">
        <f t="shared" si="3"/>
        <v>0</v>
      </c>
      <c r="S14" s="24"/>
      <c r="T14" s="52" t="e">
        <f>S14*(HLOOKUP("Ethanol Blend (10%)",'Energy Conv Factors'!$A$6:$M$17,'General Info'!$E$7,FALSE))/1000</f>
        <v>#VALUE!</v>
      </c>
      <c r="U14" s="51"/>
      <c r="V14" s="52">
        <f t="shared" si="4"/>
        <v>0</v>
      </c>
      <c r="W14" s="24"/>
      <c r="X14" s="52" t="e">
        <f>W14*(HLOOKUP("Biodiesel (B5)",'Energy Conv Factors'!$A$6:$M$17,'General Info'!$E$7,FALSE))/1000</f>
        <v>#VALUE!</v>
      </c>
      <c r="Y14" s="51"/>
      <c r="Z14" s="52">
        <f t="shared" si="5"/>
        <v>0</v>
      </c>
      <c r="AA14" s="24"/>
      <c r="AB14" s="52" t="e">
        <f>AA14*(HLOOKUP("Biodiesel (B10)",'Energy Conv Factors'!$A$6:$M$17,'General Info'!$E$7,FALSE))/1000</f>
        <v>#VALUE!</v>
      </c>
      <c r="AC14" s="51"/>
      <c r="AD14" s="52">
        <f t="shared" si="6"/>
        <v>0</v>
      </c>
      <c r="AE14" s="24"/>
      <c r="AF14" s="52" t="e">
        <f>AE14*(HLOOKUP("Biodiesel (B20)",'Energy Conv Factors'!$A$6:$M$17,'General Info'!$E$7,FALSE))/1000</f>
        <v>#VALUE!</v>
      </c>
      <c r="AG14" s="51"/>
      <c r="AH14" s="52">
        <f t="shared" si="7"/>
        <v>0</v>
      </c>
      <c r="AI14" s="53"/>
      <c r="AJ14" s="53"/>
      <c r="AK14" s="23">
        <f t="shared" si="8"/>
        <v>0</v>
      </c>
      <c r="AL14" s="25">
        <f t="shared" si="9"/>
        <v>0</v>
      </c>
      <c r="AM14" s="52" t="e">
        <f t="shared" si="10"/>
        <v>#VALUE!</v>
      </c>
      <c r="AN14" s="52">
        <f t="shared" si="11"/>
        <v>0</v>
      </c>
      <c r="AO14" s="26" t="e">
        <f t="shared" si="12"/>
        <v>#DIV/0!</v>
      </c>
      <c r="AP14" s="26" t="e">
        <f t="shared" si="13"/>
        <v>#DIV/0!</v>
      </c>
      <c r="AQ14" s="26" t="e">
        <f t="shared" si="14"/>
        <v>#DIV/0!</v>
      </c>
      <c r="AR14" s="26" t="e">
        <f t="shared" si="15"/>
        <v>#DIV/0!</v>
      </c>
      <c r="AS14" s="65"/>
      <c r="AT14" s="65"/>
      <c r="AU14" s="65"/>
      <c r="AV14" s="65"/>
      <c r="AW14" s="65"/>
      <c r="AX14" s="65"/>
      <c r="AY14" s="65"/>
      <c r="AZ14" s="65"/>
      <c r="BA14" s="65"/>
      <c r="BB14" s="65"/>
      <c r="BC14" s="65"/>
      <c r="BD14" s="65"/>
      <c r="BE14" s="65"/>
      <c r="BF14" s="65"/>
      <c r="BG14" s="65"/>
    </row>
    <row r="15" spans="1:59" s="27" customFormat="1" ht="11.25">
      <c r="A15" s="65"/>
      <c r="B15" s="23"/>
      <c r="C15" s="24"/>
      <c r="D15" s="52" t="e">
        <f>C15*(HLOOKUP("Gasoline",'Energy Conv Factors'!$A$6:$M$17,'General Info'!$E$7,FALSE))/1000</f>
        <v>#VALUE!</v>
      </c>
      <c r="E15" s="51"/>
      <c r="F15" s="52">
        <f t="shared" si="0"/>
        <v>0</v>
      </c>
      <c r="G15" s="24"/>
      <c r="H15" s="52" t="e">
        <f>G15*(HLOOKUP("Diesel",'Energy Conv Factors'!$A$6:$M$17,'General Info'!$E$7,FALSE))/1000</f>
        <v>#VALUE!</v>
      </c>
      <c r="I15" s="51"/>
      <c r="J15" s="52">
        <f t="shared" si="1"/>
        <v>0</v>
      </c>
      <c r="K15" s="24"/>
      <c r="L15" s="52" t="e">
        <f>K15*(HLOOKUP("Propane",'Energy Conv Factors'!$A$6:$M$17,'General Info'!$E$7,FALSE))/1000</f>
        <v>#VALUE!</v>
      </c>
      <c r="M15" s="51"/>
      <c r="N15" s="52">
        <f t="shared" si="2"/>
        <v>0</v>
      </c>
      <c r="O15" s="24"/>
      <c r="P15" s="52" t="e">
        <f>O15*(HLOOKUP("CNG",'Energy Conv Factors'!$A$6:$M$17,'General Info'!$E$7,FALSE))/1000</f>
        <v>#VALUE!</v>
      </c>
      <c r="Q15" s="51"/>
      <c r="R15" s="52">
        <f t="shared" si="3"/>
        <v>0</v>
      </c>
      <c r="S15" s="24"/>
      <c r="T15" s="52" t="e">
        <f>S15*(HLOOKUP("Ethanol Blend (10%)",'Energy Conv Factors'!$A$6:$M$17,'General Info'!$E$7,FALSE))/1000</f>
        <v>#VALUE!</v>
      </c>
      <c r="U15" s="51"/>
      <c r="V15" s="52">
        <f t="shared" si="4"/>
        <v>0</v>
      </c>
      <c r="W15" s="24"/>
      <c r="X15" s="52" t="e">
        <f>W15*(HLOOKUP("Biodiesel (B5)",'Energy Conv Factors'!$A$6:$M$17,'General Info'!$E$7,FALSE))/1000</f>
        <v>#VALUE!</v>
      </c>
      <c r="Y15" s="51"/>
      <c r="Z15" s="52">
        <f t="shared" si="5"/>
        <v>0</v>
      </c>
      <c r="AA15" s="24"/>
      <c r="AB15" s="52" t="e">
        <f>AA15*(HLOOKUP("Biodiesel (B10)",'Energy Conv Factors'!$A$6:$M$17,'General Info'!$E$7,FALSE))/1000</f>
        <v>#VALUE!</v>
      </c>
      <c r="AC15" s="51"/>
      <c r="AD15" s="52">
        <f t="shared" si="6"/>
        <v>0</v>
      </c>
      <c r="AE15" s="24"/>
      <c r="AF15" s="52" t="e">
        <f>AE15*(HLOOKUP("Biodiesel (B20)",'Energy Conv Factors'!$A$6:$M$17,'General Info'!$E$7,FALSE))/1000</f>
        <v>#VALUE!</v>
      </c>
      <c r="AG15" s="51"/>
      <c r="AH15" s="52">
        <f t="shared" si="7"/>
        <v>0</v>
      </c>
      <c r="AI15" s="53"/>
      <c r="AJ15" s="53"/>
      <c r="AK15" s="23">
        <f t="shared" si="8"/>
        <v>0</v>
      </c>
      <c r="AL15" s="25">
        <f t="shared" si="9"/>
        <v>0</v>
      </c>
      <c r="AM15" s="52" t="e">
        <f t="shared" si="10"/>
        <v>#VALUE!</v>
      </c>
      <c r="AN15" s="52">
        <f t="shared" si="11"/>
        <v>0</v>
      </c>
      <c r="AO15" s="26" t="e">
        <f t="shared" si="12"/>
        <v>#DIV/0!</v>
      </c>
      <c r="AP15" s="26" t="e">
        <f t="shared" si="13"/>
        <v>#DIV/0!</v>
      </c>
      <c r="AQ15" s="26" t="e">
        <f t="shared" si="14"/>
        <v>#DIV/0!</v>
      </c>
      <c r="AR15" s="26" t="e">
        <f t="shared" si="15"/>
        <v>#DIV/0!</v>
      </c>
      <c r="AS15" s="65"/>
      <c r="AT15" s="65"/>
      <c r="AU15" s="65"/>
      <c r="AV15" s="65"/>
      <c r="AW15" s="65"/>
      <c r="AX15" s="65"/>
      <c r="AY15" s="65"/>
      <c r="AZ15" s="65"/>
      <c r="BA15" s="65"/>
      <c r="BB15" s="65"/>
      <c r="BC15" s="65"/>
      <c r="BD15" s="65"/>
      <c r="BE15" s="65"/>
      <c r="BF15" s="65"/>
      <c r="BG15" s="65"/>
    </row>
    <row r="16" spans="1:59" s="27" customFormat="1" ht="11.25">
      <c r="A16" s="65"/>
      <c r="B16" s="23"/>
      <c r="C16" s="24"/>
      <c r="D16" s="52" t="e">
        <f>C16*(HLOOKUP("Gasoline",'Energy Conv Factors'!$A$6:$M$17,'General Info'!$E$7,FALSE))/1000</f>
        <v>#VALUE!</v>
      </c>
      <c r="E16" s="51"/>
      <c r="F16" s="52">
        <f t="shared" si="0"/>
        <v>0</v>
      </c>
      <c r="G16" s="24"/>
      <c r="H16" s="52" t="e">
        <f>G16*(HLOOKUP("Diesel",'Energy Conv Factors'!$A$6:$M$17,'General Info'!$E$7,FALSE))/1000</f>
        <v>#VALUE!</v>
      </c>
      <c r="I16" s="51"/>
      <c r="J16" s="52">
        <f t="shared" si="1"/>
        <v>0</v>
      </c>
      <c r="K16" s="24"/>
      <c r="L16" s="52" t="e">
        <f>K16*(HLOOKUP("Propane",'Energy Conv Factors'!$A$6:$M$17,'General Info'!$E$7,FALSE))/1000</f>
        <v>#VALUE!</v>
      </c>
      <c r="M16" s="51"/>
      <c r="N16" s="52">
        <f t="shared" si="2"/>
        <v>0</v>
      </c>
      <c r="O16" s="24"/>
      <c r="P16" s="52" t="e">
        <f>O16*(HLOOKUP("CNG",'Energy Conv Factors'!$A$6:$M$17,'General Info'!$E$7,FALSE))/1000</f>
        <v>#VALUE!</v>
      </c>
      <c r="Q16" s="51"/>
      <c r="R16" s="52">
        <f t="shared" si="3"/>
        <v>0</v>
      </c>
      <c r="S16" s="24"/>
      <c r="T16" s="52" t="e">
        <f>S16*(HLOOKUP("Ethanol Blend (10%)",'Energy Conv Factors'!$A$6:$M$17,'General Info'!$E$7,FALSE))/1000</f>
        <v>#VALUE!</v>
      </c>
      <c r="U16" s="51"/>
      <c r="V16" s="52">
        <f t="shared" si="4"/>
        <v>0</v>
      </c>
      <c r="W16" s="24"/>
      <c r="X16" s="52" t="e">
        <f>W16*(HLOOKUP("Biodiesel (B5)",'Energy Conv Factors'!$A$6:$M$17,'General Info'!$E$7,FALSE))/1000</f>
        <v>#VALUE!</v>
      </c>
      <c r="Y16" s="51"/>
      <c r="Z16" s="52">
        <f t="shared" si="5"/>
        <v>0</v>
      </c>
      <c r="AA16" s="24"/>
      <c r="AB16" s="52" t="e">
        <f>AA16*(HLOOKUP("Biodiesel (B10)",'Energy Conv Factors'!$A$6:$M$17,'General Info'!$E$7,FALSE))/1000</f>
        <v>#VALUE!</v>
      </c>
      <c r="AC16" s="51"/>
      <c r="AD16" s="52">
        <f t="shared" si="6"/>
        <v>0</v>
      </c>
      <c r="AE16" s="24"/>
      <c r="AF16" s="52" t="e">
        <f>AE16*(HLOOKUP("Biodiesel (B20)",'Energy Conv Factors'!$A$6:$M$17,'General Info'!$E$7,FALSE))/1000</f>
        <v>#VALUE!</v>
      </c>
      <c r="AG16" s="51"/>
      <c r="AH16" s="52">
        <f t="shared" si="7"/>
        <v>0</v>
      </c>
      <c r="AI16" s="53"/>
      <c r="AJ16" s="53"/>
      <c r="AK16" s="23">
        <f t="shared" si="8"/>
        <v>0</v>
      </c>
      <c r="AL16" s="25">
        <f t="shared" si="9"/>
        <v>0</v>
      </c>
      <c r="AM16" s="52" t="e">
        <f t="shared" si="10"/>
        <v>#VALUE!</v>
      </c>
      <c r="AN16" s="52">
        <f t="shared" si="11"/>
        <v>0</v>
      </c>
      <c r="AO16" s="26" t="e">
        <f t="shared" si="12"/>
        <v>#DIV/0!</v>
      </c>
      <c r="AP16" s="26" t="e">
        <f t="shared" si="13"/>
        <v>#DIV/0!</v>
      </c>
      <c r="AQ16" s="26" t="e">
        <f t="shared" si="14"/>
        <v>#DIV/0!</v>
      </c>
      <c r="AR16" s="26" t="e">
        <f t="shared" si="15"/>
        <v>#DIV/0!</v>
      </c>
      <c r="AS16" s="65"/>
      <c r="AT16" s="65"/>
      <c r="AU16" s="65"/>
      <c r="AV16" s="65"/>
      <c r="AW16" s="65"/>
      <c r="AX16" s="65"/>
      <c r="AY16" s="65"/>
      <c r="AZ16" s="65"/>
      <c r="BA16" s="65"/>
      <c r="BB16" s="65"/>
      <c r="BC16" s="65"/>
      <c r="BD16" s="65"/>
      <c r="BE16" s="65"/>
      <c r="BF16" s="65"/>
      <c r="BG16" s="65"/>
    </row>
    <row r="17" spans="1:59" s="27" customFormat="1" ht="11.25">
      <c r="A17" s="65"/>
      <c r="B17" s="23"/>
      <c r="C17" s="24"/>
      <c r="D17" s="52" t="e">
        <f>C17*(HLOOKUP("Gasoline",'Energy Conv Factors'!$A$6:$M$17,'General Info'!$E$7,FALSE))/1000</f>
        <v>#VALUE!</v>
      </c>
      <c r="E17" s="51"/>
      <c r="F17" s="52">
        <f t="shared" si="0"/>
        <v>0</v>
      </c>
      <c r="G17" s="24"/>
      <c r="H17" s="52" t="e">
        <f>G17*(HLOOKUP("Diesel",'Energy Conv Factors'!$A$6:$M$17,'General Info'!$E$7,FALSE))/1000</f>
        <v>#VALUE!</v>
      </c>
      <c r="I17" s="51"/>
      <c r="J17" s="52">
        <f t="shared" si="1"/>
        <v>0</v>
      </c>
      <c r="K17" s="24"/>
      <c r="L17" s="52" t="e">
        <f>K17*(HLOOKUP("Propane",'Energy Conv Factors'!$A$6:$M$17,'General Info'!$E$7,FALSE))/1000</f>
        <v>#VALUE!</v>
      </c>
      <c r="M17" s="51"/>
      <c r="N17" s="52">
        <f t="shared" si="2"/>
        <v>0</v>
      </c>
      <c r="O17" s="24"/>
      <c r="P17" s="52" t="e">
        <f>O17*(HLOOKUP("CNG",'Energy Conv Factors'!$A$6:$M$17,'General Info'!$E$7,FALSE))/1000</f>
        <v>#VALUE!</v>
      </c>
      <c r="Q17" s="51"/>
      <c r="R17" s="52">
        <f t="shared" si="3"/>
        <v>0</v>
      </c>
      <c r="S17" s="24"/>
      <c r="T17" s="52" t="e">
        <f>S17*(HLOOKUP("Ethanol Blend (10%)",'Energy Conv Factors'!$A$6:$M$17,'General Info'!$E$7,FALSE))/1000</f>
        <v>#VALUE!</v>
      </c>
      <c r="U17" s="51"/>
      <c r="V17" s="52">
        <f t="shared" si="4"/>
        <v>0</v>
      </c>
      <c r="W17" s="24"/>
      <c r="X17" s="52" t="e">
        <f>W17*(HLOOKUP("Biodiesel (B5)",'Energy Conv Factors'!$A$6:$M$17,'General Info'!$E$7,FALSE))/1000</f>
        <v>#VALUE!</v>
      </c>
      <c r="Y17" s="51"/>
      <c r="Z17" s="52">
        <f t="shared" si="5"/>
        <v>0</v>
      </c>
      <c r="AA17" s="24"/>
      <c r="AB17" s="52" t="e">
        <f>AA17*(HLOOKUP("Biodiesel (B10)",'Energy Conv Factors'!$A$6:$M$17,'General Info'!$E$7,FALSE))/1000</f>
        <v>#VALUE!</v>
      </c>
      <c r="AC17" s="51"/>
      <c r="AD17" s="52">
        <f t="shared" si="6"/>
        <v>0</v>
      </c>
      <c r="AE17" s="24"/>
      <c r="AF17" s="52" t="e">
        <f>AE17*(HLOOKUP("Biodiesel (B20)",'Energy Conv Factors'!$A$6:$M$17,'General Info'!$E$7,FALSE))/1000</f>
        <v>#VALUE!</v>
      </c>
      <c r="AG17" s="51"/>
      <c r="AH17" s="52">
        <f t="shared" si="7"/>
        <v>0</v>
      </c>
      <c r="AI17" s="53"/>
      <c r="AJ17" s="53"/>
      <c r="AK17" s="23">
        <f t="shared" si="8"/>
        <v>0</v>
      </c>
      <c r="AL17" s="25">
        <f t="shared" si="9"/>
        <v>0</v>
      </c>
      <c r="AM17" s="52" t="e">
        <f t="shared" si="10"/>
        <v>#VALUE!</v>
      </c>
      <c r="AN17" s="52">
        <f t="shared" si="11"/>
        <v>0</v>
      </c>
      <c r="AO17" s="26" t="e">
        <f t="shared" si="12"/>
        <v>#DIV/0!</v>
      </c>
      <c r="AP17" s="26" t="e">
        <f t="shared" si="13"/>
        <v>#DIV/0!</v>
      </c>
      <c r="AQ17" s="26" t="e">
        <f t="shared" si="14"/>
        <v>#DIV/0!</v>
      </c>
      <c r="AR17" s="26" t="e">
        <f t="shared" si="15"/>
        <v>#DIV/0!</v>
      </c>
      <c r="AS17" s="65"/>
      <c r="AT17" s="65"/>
      <c r="AU17" s="65"/>
      <c r="AV17" s="65"/>
      <c r="AW17" s="65"/>
      <c r="AX17" s="65"/>
      <c r="AY17" s="65"/>
      <c r="AZ17" s="65"/>
      <c r="BA17" s="65"/>
      <c r="BB17" s="65"/>
      <c r="BC17" s="65"/>
      <c r="BD17" s="65"/>
      <c r="BE17" s="65"/>
      <c r="BF17" s="65"/>
      <c r="BG17" s="65"/>
    </row>
    <row r="18" spans="1:59" s="27" customFormat="1" ht="11.25">
      <c r="A18" s="65"/>
      <c r="B18" s="23"/>
      <c r="C18" s="24"/>
      <c r="D18" s="52" t="e">
        <f>C18*(HLOOKUP("Gasoline",'Energy Conv Factors'!$A$6:$M$17,'General Info'!$E$7,FALSE))/1000</f>
        <v>#VALUE!</v>
      </c>
      <c r="E18" s="51"/>
      <c r="F18" s="52">
        <f t="shared" si="0"/>
        <v>0</v>
      </c>
      <c r="G18" s="24"/>
      <c r="H18" s="52" t="e">
        <f>G18*(HLOOKUP("Diesel",'Energy Conv Factors'!$A$6:$M$17,'General Info'!$E$7,FALSE))/1000</f>
        <v>#VALUE!</v>
      </c>
      <c r="I18" s="51"/>
      <c r="J18" s="52">
        <f t="shared" si="1"/>
        <v>0</v>
      </c>
      <c r="K18" s="24"/>
      <c r="L18" s="52" t="e">
        <f>K18*(HLOOKUP("Propane",'Energy Conv Factors'!$A$6:$M$17,'General Info'!$E$7,FALSE))/1000</f>
        <v>#VALUE!</v>
      </c>
      <c r="M18" s="51"/>
      <c r="N18" s="52">
        <f t="shared" si="2"/>
        <v>0</v>
      </c>
      <c r="O18" s="24"/>
      <c r="P18" s="52" t="e">
        <f>O18*(HLOOKUP("CNG",'Energy Conv Factors'!$A$6:$M$17,'General Info'!$E$7,FALSE))/1000</f>
        <v>#VALUE!</v>
      </c>
      <c r="Q18" s="51"/>
      <c r="R18" s="52">
        <f t="shared" si="3"/>
        <v>0</v>
      </c>
      <c r="S18" s="24"/>
      <c r="T18" s="52" t="e">
        <f>S18*(HLOOKUP("Ethanol Blend (10%)",'Energy Conv Factors'!$A$6:$M$17,'General Info'!$E$7,FALSE))/1000</f>
        <v>#VALUE!</v>
      </c>
      <c r="U18" s="51"/>
      <c r="V18" s="52">
        <f t="shared" si="4"/>
        <v>0</v>
      </c>
      <c r="W18" s="24"/>
      <c r="X18" s="52" t="e">
        <f>W18*(HLOOKUP("Biodiesel (B5)",'Energy Conv Factors'!$A$6:$M$17,'General Info'!$E$7,FALSE))/1000</f>
        <v>#VALUE!</v>
      </c>
      <c r="Y18" s="51"/>
      <c r="Z18" s="52">
        <f t="shared" si="5"/>
        <v>0</v>
      </c>
      <c r="AA18" s="24"/>
      <c r="AB18" s="52" t="e">
        <f>AA18*(HLOOKUP("Biodiesel (B10)",'Energy Conv Factors'!$A$6:$M$17,'General Info'!$E$7,FALSE))/1000</f>
        <v>#VALUE!</v>
      </c>
      <c r="AC18" s="51"/>
      <c r="AD18" s="52">
        <f t="shared" si="6"/>
        <v>0</v>
      </c>
      <c r="AE18" s="24"/>
      <c r="AF18" s="52" t="e">
        <f>AE18*(HLOOKUP("Biodiesel (B20)",'Energy Conv Factors'!$A$6:$M$17,'General Info'!$E$7,FALSE))/1000</f>
        <v>#VALUE!</v>
      </c>
      <c r="AG18" s="51"/>
      <c r="AH18" s="52">
        <f t="shared" si="7"/>
        <v>0</v>
      </c>
      <c r="AI18" s="53"/>
      <c r="AJ18" s="53"/>
      <c r="AK18" s="23">
        <f t="shared" si="8"/>
        <v>0</v>
      </c>
      <c r="AL18" s="25">
        <f t="shared" si="9"/>
        <v>0</v>
      </c>
      <c r="AM18" s="52" t="e">
        <f t="shared" si="10"/>
        <v>#VALUE!</v>
      </c>
      <c r="AN18" s="52">
        <f t="shared" si="11"/>
        <v>0</v>
      </c>
      <c r="AO18" s="26" t="e">
        <f t="shared" si="12"/>
        <v>#DIV/0!</v>
      </c>
      <c r="AP18" s="26" t="e">
        <f t="shared" si="13"/>
        <v>#DIV/0!</v>
      </c>
      <c r="AQ18" s="26" t="e">
        <f t="shared" si="14"/>
        <v>#DIV/0!</v>
      </c>
      <c r="AR18" s="26" t="e">
        <f t="shared" si="15"/>
        <v>#DIV/0!</v>
      </c>
      <c r="AS18" s="65"/>
      <c r="AT18" s="65"/>
      <c r="AU18" s="65"/>
      <c r="AV18" s="65"/>
      <c r="AW18" s="65"/>
      <c r="AX18" s="65"/>
      <c r="AY18" s="65"/>
      <c r="AZ18" s="65"/>
      <c r="BA18" s="65"/>
      <c r="BB18" s="65"/>
      <c r="BC18" s="65"/>
      <c r="BD18" s="65"/>
      <c r="BE18" s="65"/>
      <c r="BF18" s="65"/>
      <c r="BG18" s="65"/>
    </row>
    <row r="19" spans="1:59" s="27" customFormat="1" ht="11.25">
      <c r="A19" s="65"/>
      <c r="B19" s="23"/>
      <c r="C19" s="24"/>
      <c r="D19" s="52" t="e">
        <f>C19*(HLOOKUP("Gasoline",'Energy Conv Factors'!$A$6:$M$17,'General Info'!$E$7,FALSE))/1000</f>
        <v>#VALUE!</v>
      </c>
      <c r="E19" s="51"/>
      <c r="F19" s="52">
        <f t="shared" si="0"/>
        <v>0</v>
      </c>
      <c r="G19" s="24"/>
      <c r="H19" s="52" t="e">
        <f>G19*(HLOOKUP("Diesel",'Energy Conv Factors'!$A$6:$M$17,'General Info'!$E$7,FALSE))/1000</f>
        <v>#VALUE!</v>
      </c>
      <c r="I19" s="51"/>
      <c r="J19" s="52">
        <f t="shared" si="1"/>
        <v>0</v>
      </c>
      <c r="K19" s="24"/>
      <c r="L19" s="52" t="e">
        <f>K19*(HLOOKUP("Propane",'Energy Conv Factors'!$A$6:$M$17,'General Info'!$E$7,FALSE))/1000</f>
        <v>#VALUE!</v>
      </c>
      <c r="M19" s="51"/>
      <c r="N19" s="52">
        <f t="shared" si="2"/>
        <v>0</v>
      </c>
      <c r="O19" s="24"/>
      <c r="P19" s="52" t="e">
        <f>O19*(HLOOKUP("CNG",'Energy Conv Factors'!$A$6:$M$17,'General Info'!$E$7,FALSE))/1000</f>
        <v>#VALUE!</v>
      </c>
      <c r="Q19" s="51"/>
      <c r="R19" s="52">
        <f t="shared" si="3"/>
        <v>0</v>
      </c>
      <c r="S19" s="24"/>
      <c r="T19" s="52" t="e">
        <f>S19*(HLOOKUP("Ethanol Blend (10%)",'Energy Conv Factors'!$A$6:$M$17,'General Info'!$E$7,FALSE))/1000</f>
        <v>#VALUE!</v>
      </c>
      <c r="U19" s="51"/>
      <c r="V19" s="52">
        <f t="shared" si="4"/>
        <v>0</v>
      </c>
      <c r="W19" s="24"/>
      <c r="X19" s="52" t="e">
        <f>W19*(HLOOKUP("Biodiesel (B5)",'Energy Conv Factors'!$A$6:$M$17,'General Info'!$E$7,FALSE))/1000</f>
        <v>#VALUE!</v>
      </c>
      <c r="Y19" s="51"/>
      <c r="Z19" s="52">
        <f t="shared" si="5"/>
        <v>0</v>
      </c>
      <c r="AA19" s="24"/>
      <c r="AB19" s="52" t="e">
        <f>AA19*(HLOOKUP("Biodiesel (B10)",'Energy Conv Factors'!$A$6:$M$17,'General Info'!$E$7,FALSE))/1000</f>
        <v>#VALUE!</v>
      </c>
      <c r="AC19" s="51"/>
      <c r="AD19" s="52">
        <f t="shared" si="6"/>
        <v>0</v>
      </c>
      <c r="AE19" s="24"/>
      <c r="AF19" s="52" t="e">
        <f>AE19*(HLOOKUP("Biodiesel (B20)",'Energy Conv Factors'!$A$6:$M$17,'General Info'!$E$7,FALSE))/1000</f>
        <v>#VALUE!</v>
      </c>
      <c r="AG19" s="51"/>
      <c r="AH19" s="52">
        <f t="shared" si="7"/>
        <v>0</v>
      </c>
      <c r="AI19" s="53"/>
      <c r="AJ19" s="53"/>
      <c r="AK19" s="23">
        <f t="shared" si="8"/>
        <v>0</v>
      </c>
      <c r="AL19" s="25">
        <f t="shared" si="9"/>
        <v>0</v>
      </c>
      <c r="AM19" s="52" t="e">
        <f t="shared" si="10"/>
        <v>#VALUE!</v>
      </c>
      <c r="AN19" s="52">
        <f t="shared" si="11"/>
        <v>0</v>
      </c>
      <c r="AO19" s="26" t="e">
        <f t="shared" si="12"/>
        <v>#DIV/0!</v>
      </c>
      <c r="AP19" s="26" t="e">
        <f t="shared" si="13"/>
        <v>#DIV/0!</v>
      </c>
      <c r="AQ19" s="26" t="e">
        <f t="shared" si="14"/>
        <v>#DIV/0!</v>
      </c>
      <c r="AR19" s="26" t="e">
        <f t="shared" si="15"/>
        <v>#DIV/0!</v>
      </c>
      <c r="AS19" s="65"/>
      <c r="AT19" s="65"/>
      <c r="AU19" s="65"/>
      <c r="AV19" s="65"/>
      <c r="AW19" s="65"/>
      <c r="AX19" s="65"/>
      <c r="AY19" s="65"/>
      <c r="AZ19" s="65"/>
      <c r="BA19" s="65"/>
      <c r="BB19" s="65"/>
      <c r="BC19" s="65"/>
      <c r="BD19" s="65"/>
      <c r="BE19" s="65"/>
      <c r="BF19" s="65"/>
      <c r="BG19" s="65"/>
    </row>
    <row r="20" spans="1:59" s="27" customFormat="1" ht="11.25">
      <c r="A20" s="65"/>
      <c r="B20" s="23"/>
      <c r="C20" s="24"/>
      <c r="D20" s="52" t="e">
        <f>C20*(HLOOKUP("Gasoline",'Energy Conv Factors'!$A$6:$M$17,'General Info'!$E$7,FALSE))/1000</f>
        <v>#VALUE!</v>
      </c>
      <c r="E20" s="51"/>
      <c r="F20" s="52">
        <f t="shared" si="0"/>
        <v>0</v>
      </c>
      <c r="G20" s="24"/>
      <c r="H20" s="52" t="e">
        <f>G20*(HLOOKUP("Diesel",'Energy Conv Factors'!$A$6:$M$17,'General Info'!$E$7,FALSE))/1000</f>
        <v>#VALUE!</v>
      </c>
      <c r="I20" s="51"/>
      <c r="J20" s="52">
        <f t="shared" si="1"/>
        <v>0</v>
      </c>
      <c r="K20" s="24"/>
      <c r="L20" s="52" t="e">
        <f>K20*(HLOOKUP("Propane",'Energy Conv Factors'!$A$6:$M$17,'General Info'!$E$7,FALSE))/1000</f>
        <v>#VALUE!</v>
      </c>
      <c r="M20" s="51"/>
      <c r="N20" s="52">
        <f t="shared" si="2"/>
        <v>0</v>
      </c>
      <c r="O20" s="24"/>
      <c r="P20" s="52" t="e">
        <f>O20*(HLOOKUP("CNG",'Energy Conv Factors'!$A$6:$M$17,'General Info'!$E$7,FALSE))/1000</f>
        <v>#VALUE!</v>
      </c>
      <c r="Q20" s="51"/>
      <c r="R20" s="52">
        <f t="shared" si="3"/>
        <v>0</v>
      </c>
      <c r="S20" s="24"/>
      <c r="T20" s="52" t="e">
        <f>S20*(HLOOKUP("Ethanol Blend (10%)",'Energy Conv Factors'!$A$6:$M$17,'General Info'!$E$7,FALSE))/1000</f>
        <v>#VALUE!</v>
      </c>
      <c r="U20" s="51"/>
      <c r="V20" s="52">
        <f t="shared" si="4"/>
        <v>0</v>
      </c>
      <c r="W20" s="24"/>
      <c r="X20" s="52" t="e">
        <f>W20*(HLOOKUP("Biodiesel (B5)",'Energy Conv Factors'!$A$6:$M$17,'General Info'!$E$7,FALSE))/1000</f>
        <v>#VALUE!</v>
      </c>
      <c r="Y20" s="51"/>
      <c r="Z20" s="52">
        <f t="shared" si="5"/>
        <v>0</v>
      </c>
      <c r="AA20" s="24"/>
      <c r="AB20" s="52" t="e">
        <f>AA20*(HLOOKUP("Biodiesel (B10)",'Energy Conv Factors'!$A$6:$M$17,'General Info'!$E$7,FALSE))/1000</f>
        <v>#VALUE!</v>
      </c>
      <c r="AC20" s="51"/>
      <c r="AD20" s="52">
        <f t="shared" si="6"/>
        <v>0</v>
      </c>
      <c r="AE20" s="24"/>
      <c r="AF20" s="52" t="e">
        <f>AE20*(HLOOKUP("Biodiesel (B20)",'Energy Conv Factors'!$A$6:$M$17,'General Info'!$E$7,FALSE))/1000</f>
        <v>#VALUE!</v>
      </c>
      <c r="AG20" s="51"/>
      <c r="AH20" s="52">
        <f t="shared" si="7"/>
        <v>0</v>
      </c>
      <c r="AI20" s="53"/>
      <c r="AJ20" s="53"/>
      <c r="AK20" s="23">
        <f t="shared" si="8"/>
        <v>0</v>
      </c>
      <c r="AL20" s="25">
        <f t="shared" si="9"/>
        <v>0</v>
      </c>
      <c r="AM20" s="52" t="e">
        <f t="shared" si="10"/>
        <v>#VALUE!</v>
      </c>
      <c r="AN20" s="52">
        <f t="shared" si="11"/>
        <v>0</v>
      </c>
      <c r="AO20" s="26" t="e">
        <f t="shared" si="12"/>
        <v>#DIV/0!</v>
      </c>
      <c r="AP20" s="26" t="e">
        <f t="shared" si="13"/>
        <v>#DIV/0!</v>
      </c>
      <c r="AQ20" s="26" t="e">
        <f t="shared" si="14"/>
        <v>#DIV/0!</v>
      </c>
      <c r="AR20" s="26" t="e">
        <f t="shared" si="15"/>
        <v>#DIV/0!</v>
      </c>
      <c r="AS20" s="65"/>
      <c r="AT20" s="65"/>
      <c r="AU20" s="65"/>
      <c r="AV20" s="65"/>
      <c r="AW20" s="65"/>
      <c r="AX20" s="65"/>
      <c r="AY20" s="65"/>
      <c r="AZ20" s="65"/>
      <c r="BA20" s="65"/>
      <c r="BB20" s="65"/>
      <c r="BC20" s="65"/>
      <c r="BD20" s="65"/>
      <c r="BE20" s="65"/>
      <c r="BF20" s="65"/>
      <c r="BG20" s="65"/>
    </row>
    <row r="21" spans="1:59" s="27" customFormat="1" ht="11.25">
      <c r="A21" s="65"/>
      <c r="B21" s="23"/>
      <c r="C21" s="24"/>
      <c r="D21" s="52" t="e">
        <f>C21*(HLOOKUP("Gasoline",'Energy Conv Factors'!$A$6:$M$17,'General Info'!$E$7,FALSE))/1000</f>
        <v>#VALUE!</v>
      </c>
      <c r="E21" s="51"/>
      <c r="F21" s="52">
        <f t="shared" si="0"/>
        <v>0</v>
      </c>
      <c r="G21" s="24"/>
      <c r="H21" s="52" t="e">
        <f>G21*(HLOOKUP("Diesel",'Energy Conv Factors'!$A$6:$M$17,'General Info'!$E$7,FALSE))/1000</f>
        <v>#VALUE!</v>
      </c>
      <c r="I21" s="51"/>
      <c r="J21" s="52">
        <f t="shared" si="1"/>
        <v>0</v>
      </c>
      <c r="K21" s="24"/>
      <c r="L21" s="52" t="e">
        <f>K21*(HLOOKUP("Propane",'Energy Conv Factors'!$A$6:$M$17,'General Info'!$E$7,FALSE))/1000</f>
        <v>#VALUE!</v>
      </c>
      <c r="M21" s="51"/>
      <c r="N21" s="52">
        <f t="shared" si="2"/>
        <v>0</v>
      </c>
      <c r="O21" s="24"/>
      <c r="P21" s="52" t="e">
        <f>O21*(HLOOKUP("CNG",'Energy Conv Factors'!$A$6:$M$17,'General Info'!$E$7,FALSE))/1000</f>
        <v>#VALUE!</v>
      </c>
      <c r="Q21" s="51"/>
      <c r="R21" s="52">
        <f t="shared" si="3"/>
        <v>0</v>
      </c>
      <c r="S21" s="24"/>
      <c r="T21" s="52" t="e">
        <f>S21*(HLOOKUP("Ethanol Blend (10%)",'Energy Conv Factors'!$A$6:$M$17,'General Info'!$E$7,FALSE))/1000</f>
        <v>#VALUE!</v>
      </c>
      <c r="U21" s="51"/>
      <c r="V21" s="52">
        <f t="shared" si="4"/>
        <v>0</v>
      </c>
      <c r="W21" s="24"/>
      <c r="X21" s="52" t="e">
        <f>W21*(HLOOKUP("Biodiesel (B5)",'Energy Conv Factors'!$A$6:$M$17,'General Info'!$E$7,FALSE))/1000</f>
        <v>#VALUE!</v>
      </c>
      <c r="Y21" s="51"/>
      <c r="Z21" s="52">
        <f t="shared" si="5"/>
        <v>0</v>
      </c>
      <c r="AA21" s="24"/>
      <c r="AB21" s="52" t="e">
        <f>AA21*(HLOOKUP("Biodiesel (B10)",'Energy Conv Factors'!$A$6:$M$17,'General Info'!$E$7,FALSE))/1000</f>
        <v>#VALUE!</v>
      </c>
      <c r="AC21" s="51"/>
      <c r="AD21" s="52">
        <f t="shared" si="6"/>
        <v>0</v>
      </c>
      <c r="AE21" s="24"/>
      <c r="AF21" s="52" t="e">
        <f>AE21*(HLOOKUP("Biodiesel (B20)",'Energy Conv Factors'!$A$6:$M$17,'General Info'!$E$7,FALSE))/1000</f>
        <v>#VALUE!</v>
      </c>
      <c r="AG21" s="51"/>
      <c r="AH21" s="52">
        <f t="shared" si="7"/>
        <v>0</v>
      </c>
      <c r="AI21" s="53"/>
      <c r="AJ21" s="53"/>
      <c r="AK21" s="23">
        <f t="shared" si="8"/>
        <v>0</v>
      </c>
      <c r="AL21" s="25">
        <f t="shared" si="9"/>
        <v>0</v>
      </c>
      <c r="AM21" s="52" t="e">
        <f t="shared" si="10"/>
        <v>#VALUE!</v>
      </c>
      <c r="AN21" s="52">
        <f t="shared" si="11"/>
        <v>0</v>
      </c>
      <c r="AO21" s="26" t="e">
        <f t="shared" si="12"/>
        <v>#DIV/0!</v>
      </c>
      <c r="AP21" s="26" t="e">
        <f t="shared" si="13"/>
        <v>#DIV/0!</v>
      </c>
      <c r="AQ21" s="26" t="e">
        <f t="shared" si="14"/>
        <v>#DIV/0!</v>
      </c>
      <c r="AR21" s="26" t="e">
        <f t="shared" si="15"/>
        <v>#DIV/0!</v>
      </c>
      <c r="AS21" s="65"/>
      <c r="AT21" s="65"/>
      <c r="AU21" s="65"/>
      <c r="AV21" s="65"/>
      <c r="AW21" s="65"/>
      <c r="AX21" s="65"/>
      <c r="AY21" s="65"/>
      <c r="AZ21" s="65"/>
      <c r="BA21" s="65"/>
      <c r="BB21" s="65"/>
      <c r="BC21" s="65"/>
      <c r="BD21" s="65"/>
      <c r="BE21" s="65"/>
      <c r="BF21" s="65"/>
      <c r="BG21" s="65"/>
    </row>
    <row r="22" spans="1:59" s="27" customFormat="1" ht="11.25">
      <c r="A22" s="65"/>
      <c r="B22" s="23"/>
      <c r="C22" s="24"/>
      <c r="D22" s="52" t="e">
        <f>C22*(HLOOKUP("Gasoline",'Energy Conv Factors'!$A$6:$M$17,'General Info'!$E$7,FALSE))/1000</f>
        <v>#VALUE!</v>
      </c>
      <c r="E22" s="51"/>
      <c r="F22" s="52">
        <f t="shared" si="0"/>
        <v>0</v>
      </c>
      <c r="G22" s="24"/>
      <c r="H22" s="52" t="e">
        <f>G22*(HLOOKUP("Diesel",'Energy Conv Factors'!$A$6:$M$17,'General Info'!$E$7,FALSE))/1000</f>
        <v>#VALUE!</v>
      </c>
      <c r="I22" s="51"/>
      <c r="J22" s="52">
        <f t="shared" si="1"/>
        <v>0</v>
      </c>
      <c r="K22" s="24"/>
      <c r="L22" s="52" t="e">
        <f>K22*(HLOOKUP("Propane",'Energy Conv Factors'!$A$6:$M$17,'General Info'!$E$7,FALSE))/1000</f>
        <v>#VALUE!</v>
      </c>
      <c r="M22" s="51"/>
      <c r="N22" s="52">
        <f t="shared" si="2"/>
        <v>0</v>
      </c>
      <c r="O22" s="24"/>
      <c r="P22" s="52" t="e">
        <f>O22*(HLOOKUP("CNG",'Energy Conv Factors'!$A$6:$M$17,'General Info'!$E$7,FALSE))/1000</f>
        <v>#VALUE!</v>
      </c>
      <c r="Q22" s="51"/>
      <c r="R22" s="52">
        <f t="shared" si="3"/>
        <v>0</v>
      </c>
      <c r="S22" s="24"/>
      <c r="T22" s="52" t="e">
        <f>S22*(HLOOKUP("Ethanol Blend (10%)",'Energy Conv Factors'!$A$6:$M$17,'General Info'!$E$7,FALSE))/1000</f>
        <v>#VALUE!</v>
      </c>
      <c r="U22" s="51"/>
      <c r="V22" s="52">
        <f t="shared" si="4"/>
        <v>0</v>
      </c>
      <c r="W22" s="24"/>
      <c r="X22" s="52" t="e">
        <f>W22*(HLOOKUP("Biodiesel (B5)",'Energy Conv Factors'!$A$6:$M$17,'General Info'!$E$7,FALSE))/1000</f>
        <v>#VALUE!</v>
      </c>
      <c r="Y22" s="51"/>
      <c r="Z22" s="52">
        <f t="shared" si="5"/>
        <v>0</v>
      </c>
      <c r="AA22" s="24"/>
      <c r="AB22" s="52" t="e">
        <f>AA22*(HLOOKUP("Biodiesel (B10)",'Energy Conv Factors'!$A$6:$M$17,'General Info'!$E$7,FALSE))/1000</f>
        <v>#VALUE!</v>
      </c>
      <c r="AC22" s="51"/>
      <c r="AD22" s="52">
        <f t="shared" si="6"/>
        <v>0</v>
      </c>
      <c r="AE22" s="24"/>
      <c r="AF22" s="52" t="e">
        <f>AE22*(HLOOKUP("Biodiesel (B20)",'Energy Conv Factors'!$A$6:$M$17,'General Info'!$E$7,FALSE))/1000</f>
        <v>#VALUE!</v>
      </c>
      <c r="AG22" s="51"/>
      <c r="AH22" s="52">
        <f t="shared" si="7"/>
        <v>0</v>
      </c>
      <c r="AI22" s="53"/>
      <c r="AJ22" s="53"/>
      <c r="AK22" s="23">
        <f t="shared" si="8"/>
        <v>0</v>
      </c>
      <c r="AL22" s="25">
        <f t="shared" si="9"/>
        <v>0</v>
      </c>
      <c r="AM22" s="52" t="e">
        <f t="shared" si="10"/>
        <v>#VALUE!</v>
      </c>
      <c r="AN22" s="52">
        <f t="shared" si="11"/>
        <v>0</v>
      </c>
      <c r="AO22" s="26" t="e">
        <f t="shared" si="12"/>
        <v>#DIV/0!</v>
      </c>
      <c r="AP22" s="26" t="e">
        <f t="shared" si="13"/>
        <v>#DIV/0!</v>
      </c>
      <c r="AQ22" s="26" t="e">
        <f t="shared" si="14"/>
        <v>#DIV/0!</v>
      </c>
      <c r="AR22" s="26" t="e">
        <f t="shared" si="15"/>
        <v>#DIV/0!</v>
      </c>
      <c r="AS22" s="65"/>
      <c r="AT22" s="65"/>
      <c r="AU22" s="65"/>
      <c r="AV22" s="65"/>
      <c r="AW22" s="65"/>
      <c r="AX22" s="65"/>
      <c r="AY22" s="65"/>
      <c r="AZ22" s="65"/>
      <c r="BA22" s="65"/>
      <c r="BB22" s="65"/>
      <c r="BC22" s="65"/>
      <c r="BD22" s="65"/>
      <c r="BE22" s="65"/>
      <c r="BF22" s="65"/>
      <c r="BG22" s="65"/>
    </row>
    <row r="23" spans="1:59" s="27" customFormat="1" ht="11.25">
      <c r="A23" s="65"/>
      <c r="B23" s="23"/>
      <c r="C23" s="24"/>
      <c r="D23" s="52" t="e">
        <f>C23*(HLOOKUP("Gasoline",'Energy Conv Factors'!$A$6:$M$17,'General Info'!$E$7,FALSE))/1000</f>
        <v>#VALUE!</v>
      </c>
      <c r="E23" s="51"/>
      <c r="F23" s="52">
        <f t="shared" si="0"/>
        <v>0</v>
      </c>
      <c r="G23" s="24"/>
      <c r="H23" s="52" t="e">
        <f>G23*(HLOOKUP("Diesel",'Energy Conv Factors'!$A$6:$M$17,'General Info'!$E$7,FALSE))/1000</f>
        <v>#VALUE!</v>
      </c>
      <c r="I23" s="51"/>
      <c r="J23" s="52">
        <f t="shared" si="1"/>
        <v>0</v>
      </c>
      <c r="K23" s="24"/>
      <c r="L23" s="52" t="e">
        <f>K23*(HLOOKUP("Propane",'Energy Conv Factors'!$A$6:$M$17,'General Info'!$E$7,FALSE))/1000</f>
        <v>#VALUE!</v>
      </c>
      <c r="M23" s="51"/>
      <c r="N23" s="52">
        <f t="shared" si="2"/>
        <v>0</v>
      </c>
      <c r="O23" s="24"/>
      <c r="P23" s="52" t="e">
        <f>O23*(HLOOKUP("CNG",'Energy Conv Factors'!$A$6:$M$17,'General Info'!$E$7,FALSE))/1000</f>
        <v>#VALUE!</v>
      </c>
      <c r="Q23" s="51"/>
      <c r="R23" s="52">
        <f t="shared" si="3"/>
        <v>0</v>
      </c>
      <c r="S23" s="24"/>
      <c r="T23" s="52" t="e">
        <f>S23*(HLOOKUP("Ethanol Blend (10%)",'Energy Conv Factors'!$A$6:$M$17,'General Info'!$E$7,FALSE))/1000</f>
        <v>#VALUE!</v>
      </c>
      <c r="U23" s="51"/>
      <c r="V23" s="52">
        <f t="shared" si="4"/>
        <v>0</v>
      </c>
      <c r="W23" s="24"/>
      <c r="X23" s="52" t="e">
        <f>W23*(HLOOKUP("Biodiesel (B5)",'Energy Conv Factors'!$A$6:$M$17,'General Info'!$E$7,FALSE))/1000</f>
        <v>#VALUE!</v>
      </c>
      <c r="Y23" s="51"/>
      <c r="Z23" s="52">
        <f t="shared" si="5"/>
        <v>0</v>
      </c>
      <c r="AA23" s="24"/>
      <c r="AB23" s="52" t="e">
        <f>AA23*(HLOOKUP("Biodiesel (B10)",'Energy Conv Factors'!$A$6:$M$17,'General Info'!$E$7,FALSE))/1000</f>
        <v>#VALUE!</v>
      </c>
      <c r="AC23" s="51"/>
      <c r="AD23" s="52">
        <f t="shared" si="6"/>
        <v>0</v>
      </c>
      <c r="AE23" s="24"/>
      <c r="AF23" s="52" t="e">
        <f>AE23*(HLOOKUP("Biodiesel (B20)",'Energy Conv Factors'!$A$6:$M$17,'General Info'!$E$7,FALSE))/1000</f>
        <v>#VALUE!</v>
      </c>
      <c r="AG23" s="51"/>
      <c r="AH23" s="52">
        <f t="shared" si="7"/>
        <v>0</v>
      </c>
      <c r="AI23" s="53"/>
      <c r="AJ23" s="53"/>
      <c r="AK23" s="23">
        <f t="shared" si="8"/>
        <v>0</v>
      </c>
      <c r="AL23" s="25">
        <f t="shared" si="9"/>
        <v>0</v>
      </c>
      <c r="AM23" s="52" t="e">
        <f t="shared" si="10"/>
        <v>#VALUE!</v>
      </c>
      <c r="AN23" s="52">
        <f t="shared" si="11"/>
        <v>0</v>
      </c>
      <c r="AO23" s="26" t="e">
        <f t="shared" si="12"/>
        <v>#DIV/0!</v>
      </c>
      <c r="AP23" s="26" t="e">
        <f t="shared" si="13"/>
        <v>#DIV/0!</v>
      </c>
      <c r="AQ23" s="26" t="e">
        <f t="shared" si="14"/>
        <v>#DIV/0!</v>
      </c>
      <c r="AR23" s="26" t="e">
        <f t="shared" si="15"/>
        <v>#DIV/0!</v>
      </c>
      <c r="AS23" s="65"/>
      <c r="AT23" s="65"/>
      <c r="AU23" s="65"/>
      <c r="AV23" s="65"/>
      <c r="AW23" s="65"/>
      <c r="AX23" s="65"/>
      <c r="AY23" s="65"/>
      <c r="AZ23" s="65"/>
      <c r="BA23" s="65"/>
      <c r="BB23" s="65"/>
      <c r="BC23" s="65"/>
      <c r="BD23" s="65"/>
      <c r="BE23" s="65"/>
      <c r="BF23" s="65"/>
      <c r="BG23" s="65"/>
    </row>
    <row r="24" spans="1:59" s="27" customFormat="1" ht="11.25">
      <c r="A24" s="65"/>
      <c r="B24" s="23"/>
      <c r="C24" s="24"/>
      <c r="D24" s="52" t="e">
        <f>C24*(HLOOKUP("Gasoline",'Energy Conv Factors'!$A$6:$M$17,'General Info'!$E$7,FALSE))/1000</f>
        <v>#VALUE!</v>
      </c>
      <c r="E24" s="51"/>
      <c r="F24" s="52">
        <f t="shared" si="0"/>
        <v>0</v>
      </c>
      <c r="G24" s="24"/>
      <c r="H24" s="52" t="e">
        <f>G24*(HLOOKUP("Diesel",'Energy Conv Factors'!$A$6:$M$17,'General Info'!$E$7,FALSE))/1000</f>
        <v>#VALUE!</v>
      </c>
      <c r="I24" s="51"/>
      <c r="J24" s="52">
        <f t="shared" si="1"/>
        <v>0</v>
      </c>
      <c r="K24" s="24"/>
      <c r="L24" s="52" t="e">
        <f>K24*(HLOOKUP("Propane",'Energy Conv Factors'!$A$6:$M$17,'General Info'!$E$7,FALSE))/1000</f>
        <v>#VALUE!</v>
      </c>
      <c r="M24" s="51"/>
      <c r="N24" s="52">
        <f t="shared" si="2"/>
        <v>0</v>
      </c>
      <c r="O24" s="24"/>
      <c r="P24" s="52" t="e">
        <f>O24*(HLOOKUP("CNG",'Energy Conv Factors'!$A$6:$M$17,'General Info'!$E$7,FALSE))/1000</f>
        <v>#VALUE!</v>
      </c>
      <c r="Q24" s="51"/>
      <c r="R24" s="52">
        <f t="shared" si="3"/>
        <v>0</v>
      </c>
      <c r="S24" s="24"/>
      <c r="T24" s="52" t="e">
        <f>S24*(HLOOKUP("Ethanol Blend (10%)",'Energy Conv Factors'!$A$6:$M$17,'General Info'!$E$7,FALSE))/1000</f>
        <v>#VALUE!</v>
      </c>
      <c r="U24" s="51"/>
      <c r="V24" s="52">
        <f t="shared" si="4"/>
        <v>0</v>
      </c>
      <c r="W24" s="24"/>
      <c r="X24" s="52" t="e">
        <f>W24*(HLOOKUP("Biodiesel (B5)",'Energy Conv Factors'!$A$6:$M$17,'General Info'!$E$7,FALSE))/1000</f>
        <v>#VALUE!</v>
      </c>
      <c r="Y24" s="51"/>
      <c r="Z24" s="52">
        <f t="shared" si="5"/>
        <v>0</v>
      </c>
      <c r="AA24" s="24"/>
      <c r="AB24" s="52" t="e">
        <f>AA24*(HLOOKUP("Biodiesel (B10)",'Energy Conv Factors'!$A$6:$M$17,'General Info'!$E$7,FALSE))/1000</f>
        <v>#VALUE!</v>
      </c>
      <c r="AC24" s="51"/>
      <c r="AD24" s="52">
        <f t="shared" si="6"/>
        <v>0</v>
      </c>
      <c r="AE24" s="24"/>
      <c r="AF24" s="52" t="e">
        <f>AE24*(HLOOKUP("Biodiesel (B20)",'Energy Conv Factors'!$A$6:$M$17,'General Info'!$E$7,FALSE))/1000</f>
        <v>#VALUE!</v>
      </c>
      <c r="AG24" s="51"/>
      <c r="AH24" s="52">
        <f t="shared" si="7"/>
        <v>0</v>
      </c>
      <c r="AI24" s="53"/>
      <c r="AJ24" s="53"/>
      <c r="AK24" s="23">
        <f t="shared" si="8"/>
        <v>0</v>
      </c>
      <c r="AL24" s="25">
        <f t="shared" si="9"/>
        <v>0</v>
      </c>
      <c r="AM24" s="52" t="e">
        <f t="shared" si="10"/>
        <v>#VALUE!</v>
      </c>
      <c r="AN24" s="52">
        <f t="shared" si="11"/>
        <v>0</v>
      </c>
      <c r="AO24" s="26" t="e">
        <f t="shared" si="12"/>
        <v>#DIV/0!</v>
      </c>
      <c r="AP24" s="26" t="e">
        <f t="shared" si="13"/>
        <v>#DIV/0!</v>
      </c>
      <c r="AQ24" s="26" t="e">
        <f t="shared" si="14"/>
        <v>#DIV/0!</v>
      </c>
      <c r="AR24" s="26" t="e">
        <f t="shared" si="15"/>
        <v>#DIV/0!</v>
      </c>
      <c r="AS24" s="65"/>
      <c r="AT24" s="65"/>
      <c r="AU24" s="65"/>
      <c r="AV24" s="65"/>
      <c r="AW24" s="65"/>
      <c r="AX24" s="65"/>
      <c r="AY24" s="65"/>
      <c r="AZ24" s="65"/>
      <c r="BA24" s="65"/>
      <c r="BB24" s="65"/>
      <c r="BC24" s="65"/>
      <c r="BD24" s="65"/>
      <c r="BE24" s="65"/>
      <c r="BF24" s="65"/>
      <c r="BG24" s="65"/>
    </row>
    <row r="25" spans="1:59" s="27" customFormat="1" ht="11.25">
      <c r="A25" s="65"/>
      <c r="B25" s="23"/>
      <c r="C25" s="24"/>
      <c r="D25" s="52" t="e">
        <f>C25*(HLOOKUP("Gasoline",'Energy Conv Factors'!$A$6:$M$17,'General Info'!$E$7,FALSE))/1000</f>
        <v>#VALUE!</v>
      </c>
      <c r="E25" s="51"/>
      <c r="F25" s="52">
        <f t="shared" si="0"/>
        <v>0</v>
      </c>
      <c r="G25" s="24"/>
      <c r="H25" s="52" t="e">
        <f>G25*(HLOOKUP("Diesel",'Energy Conv Factors'!$A$6:$M$17,'General Info'!$E$7,FALSE))/1000</f>
        <v>#VALUE!</v>
      </c>
      <c r="I25" s="51"/>
      <c r="J25" s="52">
        <f t="shared" si="1"/>
        <v>0</v>
      </c>
      <c r="K25" s="24"/>
      <c r="L25" s="52" t="e">
        <f>K25*(HLOOKUP("Propane",'Energy Conv Factors'!$A$6:$M$17,'General Info'!$E$7,FALSE))/1000</f>
        <v>#VALUE!</v>
      </c>
      <c r="M25" s="51"/>
      <c r="N25" s="52">
        <f t="shared" si="2"/>
        <v>0</v>
      </c>
      <c r="O25" s="24"/>
      <c r="P25" s="52" t="e">
        <f>O25*(HLOOKUP("CNG",'Energy Conv Factors'!$A$6:$M$17,'General Info'!$E$7,FALSE))/1000</f>
        <v>#VALUE!</v>
      </c>
      <c r="Q25" s="51"/>
      <c r="R25" s="52">
        <f t="shared" si="3"/>
        <v>0</v>
      </c>
      <c r="S25" s="24"/>
      <c r="T25" s="52" t="e">
        <f>S25*(HLOOKUP("Ethanol Blend (10%)",'Energy Conv Factors'!$A$6:$M$17,'General Info'!$E$7,FALSE))/1000</f>
        <v>#VALUE!</v>
      </c>
      <c r="U25" s="51"/>
      <c r="V25" s="52">
        <f t="shared" si="4"/>
        <v>0</v>
      </c>
      <c r="W25" s="24"/>
      <c r="X25" s="52" t="e">
        <f>W25*(HLOOKUP("Biodiesel (B5)",'Energy Conv Factors'!$A$6:$M$17,'General Info'!$E$7,FALSE))/1000</f>
        <v>#VALUE!</v>
      </c>
      <c r="Y25" s="51"/>
      <c r="Z25" s="52">
        <f t="shared" si="5"/>
        <v>0</v>
      </c>
      <c r="AA25" s="24"/>
      <c r="AB25" s="52" t="e">
        <f>AA25*(HLOOKUP("Biodiesel (B10)",'Energy Conv Factors'!$A$6:$M$17,'General Info'!$E$7,FALSE))/1000</f>
        <v>#VALUE!</v>
      </c>
      <c r="AC25" s="51"/>
      <c r="AD25" s="52">
        <f t="shared" si="6"/>
        <v>0</v>
      </c>
      <c r="AE25" s="24"/>
      <c r="AF25" s="52" t="e">
        <f>AE25*(HLOOKUP("Biodiesel (B20)",'Energy Conv Factors'!$A$6:$M$17,'General Info'!$E$7,FALSE))/1000</f>
        <v>#VALUE!</v>
      </c>
      <c r="AG25" s="51"/>
      <c r="AH25" s="52">
        <f t="shared" si="7"/>
        <v>0</v>
      </c>
      <c r="AI25" s="53"/>
      <c r="AJ25" s="53"/>
      <c r="AK25" s="23">
        <f t="shared" si="8"/>
        <v>0</v>
      </c>
      <c r="AL25" s="25">
        <f t="shared" si="9"/>
        <v>0</v>
      </c>
      <c r="AM25" s="52" t="e">
        <f t="shared" si="10"/>
        <v>#VALUE!</v>
      </c>
      <c r="AN25" s="52">
        <f t="shared" si="11"/>
        <v>0</v>
      </c>
      <c r="AO25" s="26" t="e">
        <f t="shared" si="12"/>
        <v>#DIV/0!</v>
      </c>
      <c r="AP25" s="26" t="e">
        <f t="shared" si="13"/>
        <v>#DIV/0!</v>
      </c>
      <c r="AQ25" s="26" t="e">
        <f t="shared" si="14"/>
        <v>#DIV/0!</v>
      </c>
      <c r="AR25" s="26" t="e">
        <f t="shared" si="15"/>
        <v>#DIV/0!</v>
      </c>
      <c r="AS25" s="65"/>
      <c r="AT25" s="65"/>
      <c r="AU25" s="65"/>
      <c r="AV25" s="65"/>
      <c r="AW25" s="65"/>
      <c r="AX25" s="65"/>
      <c r="AY25" s="65"/>
      <c r="AZ25" s="65"/>
      <c r="BA25" s="65"/>
      <c r="BB25" s="65"/>
      <c r="BC25" s="65"/>
      <c r="BD25" s="65"/>
      <c r="BE25" s="65"/>
      <c r="BF25" s="65"/>
      <c r="BG25" s="65"/>
    </row>
    <row r="26" spans="1:59" s="27" customFormat="1" ht="11.25">
      <c r="A26" s="65"/>
      <c r="B26" s="23"/>
      <c r="C26" s="24"/>
      <c r="D26" s="52" t="e">
        <f>C26*(HLOOKUP("Gasoline",'Energy Conv Factors'!$A$6:$M$17,'General Info'!$E$7,FALSE))/1000</f>
        <v>#VALUE!</v>
      </c>
      <c r="E26" s="51"/>
      <c r="F26" s="52">
        <f t="shared" si="0"/>
        <v>0</v>
      </c>
      <c r="G26" s="24"/>
      <c r="H26" s="52" t="e">
        <f>G26*(HLOOKUP("Diesel",'Energy Conv Factors'!$A$6:$M$17,'General Info'!$E$7,FALSE))/1000</f>
        <v>#VALUE!</v>
      </c>
      <c r="I26" s="51"/>
      <c r="J26" s="52">
        <f t="shared" si="1"/>
        <v>0</v>
      </c>
      <c r="K26" s="24"/>
      <c r="L26" s="52" t="e">
        <f>K26*(HLOOKUP("Propane",'Energy Conv Factors'!$A$6:$M$17,'General Info'!$E$7,FALSE))/1000</f>
        <v>#VALUE!</v>
      </c>
      <c r="M26" s="51"/>
      <c r="N26" s="52">
        <f t="shared" si="2"/>
        <v>0</v>
      </c>
      <c r="O26" s="24"/>
      <c r="P26" s="52" t="e">
        <f>O26*(HLOOKUP("CNG",'Energy Conv Factors'!$A$6:$M$17,'General Info'!$E$7,FALSE))/1000</f>
        <v>#VALUE!</v>
      </c>
      <c r="Q26" s="51"/>
      <c r="R26" s="52">
        <f t="shared" si="3"/>
        <v>0</v>
      </c>
      <c r="S26" s="24"/>
      <c r="T26" s="52" t="e">
        <f>S26*(HLOOKUP("Ethanol Blend (10%)",'Energy Conv Factors'!$A$6:$M$17,'General Info'!$E$7,FALSE))/1000</f>
        <v>#VALUE!</v>
      </c>
      <c r="U26" s="51"/>
      <c r="V26" s="52">
        <f t="shared" si="4"/>
        <v>0</v>
      </c>
      <c r="W26" s="24"/>
      <c r="X26" s="52" t="e">
        <f>W26*(HLOOKUP("Biodiesel (B5)",'Energy Conv Factors'!$A$6:$M$17,'General Info'!$E$7,FALSE))/1000</f>
        <v>#VALUE!</v>
      </c>
      <c r="Y26" s="51"/>
      <c r="Z26" s="52">
        <f t="shared" si="5"/>
        <v>0</v>
      </c>
      <c r="AA26" s="24"/>
      <c r="AB26" s="52" t="e">
        <f>AA26*(HLOOKUP("Biodiesel (B10)",'Energy Conv Factors'!$A$6:$M$17,'General Info'!$E$7,FALSE))/1000</f>
        <v>#VALUE!</v>
      </c>
      <c r="AC26" s="51"/>
      <c r="AD26" s="52">
        <f t="shared" si="6"/>
        <v>0</v>
      </c>
      <c r="AE26" s="24"/>
      <c r="AF26" s="52" t="e">
        <f>AE26*(HLOOKUP("Biodiesel (B20)",'Energy Conv Factors'!$A$6:$M$17,'General Info'!$E$7,FALSE))/1000</f>
        <v>#VALUE!</v>
      </c>
      <c r="AG26" s="51"/>
      <c r="AH26" s="52">
        <f t="shared" si="7"/>
        <v>0</v>
      </c>
      <c r="AI26" s="53"/>
      <c r="AJ26" s="53"/>
      <c r="AK26" s="23">
        <f t="shared" si="8"/>
        <v>0</v>
      </c>
      <c r="AL26" s="25">
        <f t="shared" si="9"/>
        <v>0</v>
      </c>
      <c r="AM26" s="52" t="e">
        <f t="shared" si="10"/>
        <v>#VALUE!</v>
      </c>
      <c r="AN26" s="52">
        <f t="shared" si="11"/>
        <v>0</v>
      </c>
      <c r="AO26" s="26" t="e">
        <f t="shared" si="12"/>
        <v>#DIV/0!</v>
      </c>
      <c r="AP26" s="26" t="e">
        <f t="shared" si="13"/>
        <v>#DIV/0!</v>
      </c>
      <c r="AQ26" s="26" t="e">
        <f t="shared" si="14"/>
        <v>#DIV/0!</v>
      </c>
      <c r="AR26" s="26" t="e">
        <f t="shared" si="15"/>
        <v>#DIV/0!</v>
      </c>
      <c r="AS26" s="65"/>
      <c r="AT26" s="65"/>
      <c r="AU26" s="65"/>
      <c r="AV26" s="65"/>
      <c r="AW26" s="65"/>
      <c r="AX26" s="65"/>
      <c r="AY26" s="65"/>
      <c r="AZ26" s="65"/>
      <c r="BA26" s="65"/>
      <c r="BB26" s="65"/>
      <c r="BC26" s="65"/>
      <c r="BD26" s="65"/>
      <c r="BE26" s="65"/>
      <c r="BF26" s="65"/>
      <c r="BG26" s="65"/>
    </row>
    <row r="27" spans="1:59" s="27" customFormat="1" ht="11.25">
      <c r="A27" s="65"/>
      <c r="B27" s="23"/>
      <c r="C27" s="24"/>
      <c r="D27" s="52" t="e">
        <f>C27*(HLOOKUP("Gasoline",'Energy Conv Factors'!$A$6:$M$17,'General Info'!$E$7,FALSE))/1000</f>
        <v>#VALUE!</v>
      </c>
      <c r="E27" s="51"/>
      <c r="F27" s="52">
        <f t="shared" si="0"/>
        <v>0</v>
      </c>
      <c r="G27" s="24"/>
      <c r="H27" s="52" t="e">
        <f>G27*(HLOOKUP("Diesel",'Energy Conv Factors'!$A$6:$M$17,'General Info'!$E$7,FALSE))/1000</f>
        <v>#VALUE!</v>
      </c>
      <c r="I27" s="51"/>
      <c r="J27" s="52">
        <f t="shared" si="1"/>
        <v>0</v>
      </c>
      <c r="K27" s="24"/>
      <c r="L27" s="52" t="e">
        <f>K27*(HLOOKUP("Propane",'Energy Conv Factors'!$A$6:$M$17,'General Info'!$E$7,FALSE))/1000</f>
        <v>#VALUE!</v>
      </c>
      <c r="M27" s="51"/>
      <c r="N27" s="52">
        <f t="shared" si="2"/>
        <v>0</v>
      </c>
      <c r="O27" s="24"/>
      <c r="P27" s="52" t="e">
        <f>O27*(HLOOKUP("CNG",'Energy Conv Factors'!$A$6:$M$17,'General Info'!$E$7,FALSE))/1000</f>
        <v>#VALUE!</v>
      </c>
      <c r="Q27" s="51"/>
      <c r="R27" s="52">
        <f t="shared" si="3"/>
        <v>0</v>
      </c>
      <c r="S27" s="24"/>
      <c r="T27" s="52" t="e">
        <f>S27*(HLOOKUP("Ethanol Blend (10%)",'Energy Conv Factors'!$A$6:$M$17,'General Info'!$E$7,FALSE))/1000</f>
        <v>#VALUE!</v>
      </c>
      <c r="U27" s="51"/>
      <c r="V27" s="52">
        <f t="shared" si="4"/>
        <v>0</v>
      </c>
      <c r="W27" s="24"/>
      <c r="X27" s="52" t="e">
        <f>W27*(HLOOKUP("Biodiesel (B5)",'Energy Conv Factors'!$A$6:$M$17,'General Info'!$E$7,FALSE))/1000</f>
        <v>#VALUE!</v>
      </c>
      <c r="Y27" s="51"/>
      <c r="Z27" s="52">
        <f t="shared" si="5"/>
        <v>0</v>
      </c>
      <c r="AA27" s="24"/>
      <c r="AB27" s="52" t="e">
        <f>AA27*(HLOOKUP("Biodiesel (B10)",'Energy Conv Factors'!$A$6:$M$17,'General Info'!$E$7,FALSE))/1000</f>
        <v>#VALUE!</v>
      </c>
      <c r="AC27" s="51"/>
      <c r="AD27" s="52">
        <f t="shared" si="6"/>
        <v>0</v>
      </c>
      <c r="AE27" s="24"/>
      <c r="AF27" s="52" t="e">
        <f>AE27*(HLOOKUP("Biodiesel (B20)",'Energy Conv Factors'!$A$6:$M$17,'General Info'!$E$7,FALSE))/1000</f>
        <v>#VALUE!</v>
      </c>
      <c r="AG27" s="51"/>
      <c r="AH27" s="52">
        <f t="shared" si="7"/>
        <v>0</v>
      </c>
      <c r="AI27" s="53"/>
      <c r="AJ27" s="53"/>
      <c r="AK27" s="23">
        <f t="shared" si="8"/>
        <v>0</v>
      </c>
      <c r="AL27" s="25">
        <f t="shared" si="9"/>
        <v>0</v>
      </c>
      <c r="AM27" s="52" t="e">
        <f t="shared" si="10"/>
        <v>#VALUE!</v>
      </c>
      <c r="AN27" s="52">
        <f t="shared" si="11"/>
        <v>0</v>
      </c>
      <c r="AO27" s="26" t="e">
        <f t="shared" si="12"/>
        <v>#DIV/0!</v>
      </c>
      <c r="AP27" s="26" t="e">
        <f t="shared" si="13"/>
        <v>#DIV/0!</v>
      </c>
      <c r="AQ27" s="26" t="e">
        <f t="shared" si="14"/>
        <v>#DIV/0!</v>
      </c>
      <c r="AR27" s="26" t="e">
        <f t="shared" si="15"/>
        <v>#DIV/0!</v>
      </c>
      <c r="AS27" s="65"/>
      <c r="AT27" s="65"/>
      <c r="AU27" s="65"/>
      <c r="AV27" s="65"/>
      <c r="AW27" s="65"/>
      <c r="AX27" s="65"/>
      <c r="AY27" s="65"/>
      <c r="AZ27" s="65"/>
      <c r="BA27" s="65"/>
      <c r="BB27" s="65"/>
      <c r="BC27" s="65"/>
      <c r="BD27" s="65"/>
      <c r="BE27" s="65"/>
      <c r="BF27" s="65"/>
      <c r="BG27" s="65"/>
    </row>
    <row r="28" spans="1:59" s="27" customFormat="1" ht="11.25">
      <c r="A28" s="65"/>
      <c r="B28" s="23"/>
      <c r="C28" s="24"/>
      <c r="D28" s="52" t="e">
        <f>C28*(HLOOKUP("Gasoline",'Energy Conv Factors'!$A$6:$M$17,'General Info'!$E$7,FALSE))/1000</f>
        <v>#VALUE!</v>
      </c>
      <c r="E28" s="51"/>
      <c r="F28" s="52">
        <f t="shared" si="0"/>
        <v>0</v>
      </c>
      <c r="G28" s="24"/>
      <c r="H28" s="52" t="e">
        <f>G28*(HLOOKUP("Diesel",'Energy Conv Factors'!$A$6:$M$17,'General Info'!$E$7,FALSE))/1000</f>
        <v>#VALUE!</v>
      </c>
      <c r="I28" s="51"/>
      <c r="J28" s="52">
        <f t="shared" si="1"/>
        <v>0</v>
      </c>
      <c r="K28" s="24"/>
      <c r="L28" s="52" t="e">
        <f>K28*(HLOOKUP("Propane",'Energy Conv Factors'!$A$6:$M$17,'General Info'!$E$7,FALSE))/1000</f>
        <v>#VALUE!</v>
      </c>
      <c r="M28" s="51"/>
      <c r="N28" s="52">
        <f t="shared" si="2"/>
        <v>0</v>
      </c>
      <c r="O28" s="24"/>
      <c r="P28" s="52" t="e">
        <f>O28*(HLOOKUP("CNG",'Energy Conv Factors'!$A$6:$M$17,'General Info'!$E$7,FALSE))/1000</f>
        <v>#VALUE!</v>
      </c>
      <c r="Q28" s="51"/>
      <c r="R28" s="52">
        <f t="shared" si="3"/>
        <v>0</v>
      </c>
      <c r="S28" s="24"/>
      <c r="T28" s="52" t="e">
        <f>S28*(HLOOKUP("Ethanol Blend (10%)",'Energy Conv Factors'!$A$6:$M$17,'General Info'!$E$7,FALSE))/1000</f>
        <v>#VALUE!</v>
      </c>
      <c r="U28" s="51"/>
      <c r="V28" s="52">
        <f t="shared" si="4"/>
        <v>0</v>
      </c>
      <c r="W28" s="24"/>
      <c r="X28" s="52" t="e">
        <f>W28*(HLOOKUP("Biodiesel (B5)",'Energy Conv Factors'!$A$6:$M$17,'General Info'!$E$7,FALSE))/1000</f>
        <v>#VALUE!</v>
      </c>
      <c r="Y28" s="51"/>
      <c r="Z28" s="52">
        <f t="shared" si="5"/>
        <v>0</v>
      </c>
      <c r="AA28" s="24"/>
      <c r="AB28" s="52" t="e">
        <f>AA28*(HLOOKUP("Biodiesel (B10)",'Energy Conv Factors'!$A$6:$M$17,'General Info'!$E$7,FALSE))/1000</f>
        <v>#VALUE!</v>
      </c>
      <c r="AC28" s="51"/>
      <c r="AD28" s="52">
        <f t="shared" si="6"/>
        <v>0</v>
      </c>
      <c r="AE28" s="24"/>
      <c r="AF28" s="52" t="e">
        <f>AE28*(HLOOKUP("Biodiesel (B20)",'Energy Conv Factors'!$A$6:$M$17,'General Info'!$E$7,FALSE))/1000</f>
        <v>#VALUE!</v>
      </c>
      <c r="AG28" s="51"/>
      <c r="AH28" s="52">
        <f t="shared" si="7"/>
        <v>0</v>
      </c>
      <c r="AI28" s="53"/>
      <c r="AJ28" s="53"/>
      <c r="AK28" s="23">
        <f t="shared" si="8"/>
        <v>0</v>
      </c>
      <c r="AL28" s="25">
        <f t="shared" si="9"/>
        <v>0</v>
      </c>
      <c r="AM28" s="52" t="e">
        <f t="shared" si="10"/>
        <v>#VALUE!</v>
      </c>
      <c r="AN28" s="52">
        <f t="shared" si="11"/>
        <v>0</v>
      </c>
      <c r="AO28" s="26" t="e">
        <f t="shared" si="12"/>
        <v>#DIV/0!</v>
      </c>
      <c r="AP28" s="26" t="e">
        <f>AL28/AJ28</f>
        <v>#DIV/0!</v>
      </c>
      <c r="AQ28" s="26" t="e">
        <f>AN28/AI28</f>
        <v>#DIV/0!</v>
      </c>
      <c r="AR28" s="26" t="e">
        <f>AN28/AJ28</f>
        <v>#DIV/0!</v>
      </c>
      <c r="AS28" s="65"/>
      <c r="AT28" s="65"/>
      <c r="AU28" s="65"/>
      <c r="AV28" s="65"/>
      <c r="AW28" s="65"/>
      <c r="AX28" s="65"/>
      <c r="AY28" s="65"/>
      <c r="AZ28" s="65"/>
      <c r="BA28" s="65"/>
      <c r="BB28" s="65"/>
      <c r="BC28" s="65"/>
      <c r="BD28" s="65"/>
      <c r="BE28" s="65"/>
      <c r="BF28" s="65"/>
      <c r="BG28" s="65"/>
    </row>
    <row r="29" spans="1:59" s="27" customFormat="1" ht="11.25">
      <c r="A29" s="65"/>
      <c r="B29" s="23"/>
      <c r="C29" s="24"/>
      <c r="D29" s="52" t="e">
        <f>C29*(HLOOKUP("Gasoline",'Energy Conv Factors'!$A$6:$M$17,'General Info'!$E$7,FALSE))/1000</f>
        <v>#VALUE!</v>
      </c>
      <c r="E29" s="51"/>
      <c r="F29" s="52">
        <f t="shared" si="0"/>
        <v>0</v>
      </c>
      <c r="G29" s="24"/>
      <c r="H29" s="52" t="e">
        <f>G29*(HLOOKUP("Diesel",'Energy Conv Factors'!$A$6:$M$17,'General Info'!$E$7,FALSE))/1000</f>
        <v>#VALUE!</v>
      </c>
      <c r="I29" s="51"/>
      <c r="J29" s="52">
        <f t="shared" si="1"/>
        <v>0</v>
      </c>
      <c r="K29" s="24"/>
      <c r="L29" s="52" t="e">
        <f>K29*(HLOOKUP("Propane",'Energy Conv Factors'!$A$6:$M$17,'General Info'!$E$7,FALSE))/1000</f>
        <v>#VALUE!</v>
      </c>
      <c r="M29" s="51"/>
      <c r="N29" s="52">
        <f t="shared" si="2"/>
        <v>0</v>
      </c>
      <c r="O29" s="24"/>
      <c r="P29" s="52" t="e">
        <f>O29*(HLOOKUP("CNG",'Energy Conv Factors'!$A$6:$M$17,'General Info'!$E$7,FALSE))/1000</f>
        <v>#VALUE!</v>
      </c>
      <c r="Q29" s="51"/>
      <c r="R29" s="52">
        <f t="shared" si="3"/>
        <v>0</v>
      </c>
      <c r="S29" s="24"/>
      <c r="T29" s="52" t="e">
        <f>S29*(HLOOKUP("Ethanol Blend (10%)",'Energy Conv Factors'!$A$6:$M$17,'General Info'!$E$7,FALSE))/1000</f>
        <v>#VALUE!</v>
      </c>
      <c r="U29" s="51"/>
      <c r="V29" s="52">
        <f t="shared" si="4"/>
        <v>0</v>
      </c>
      <c r="W29" s="24"/>
      <c r="X29" s="52" t="e">
        <f>W29*(HLOOKUP("Biodiesel (B5)",'Energy Conv Factors'!$A$6:$M$17,'General Info'!$E$7,FALSE))/1000</f>
        <v>#VALUE!</v>
      </c>
      <c r="Y29" s="51"/>
      <c r="Z29" s="52">
        <f t="shared" si="5"/>
        <v>0</v>
      </c>
      <c r="AA29" s="24"/>
      <c r="AB29" s="52" t="e">
        <f>AA29*(HLOOKUP("Biodiesel (B10)",'Energy Conv Factors'!$A$6:$M$17,'General Info'!$E$7,FALSE))/1000</f>
        <v>#VALUE!</v>
      </c>
      <c r="AC29" s="51"/>
      <c r="AD29" s="52">
        <f t="shared" si="6"/>
        <v>0</v>
      </c>
      <c r="AE29" s="24"/>
      <c r="AF29" s="52" t="e">
        <f>AE29*(HLOOKUP("Biodiesel (B20)",'Energy Conv Factors'!$A$6:$M$17,'General Info'!$E$7,FALSE))/1000</f>
        <v>#VALUE!</v>
      </c>
      <c r="AG29" s="51"/>
      <c r="AH29" s="52">
        <f t="shared" si="7"/>
        <v>0</v>
      </c>
      <c r="AI29" s="53"/>
      <c r="AJ29" s="53"/>
      <c r="AK29" s="23">
        <f t="shared" si="8"/>
        <v>0</v>
      </c>
      <c r="AL29" s="25">
        <f t="shared" si="9"/>
        <v>0</v>
      </c>
      <c r="AM29" s="52" t="e">
        <f t="shared" si="10"/>
        <v>#VALUE!</v>
      </c>
      <c r="AN29" s="52">
        <f t="shared" si="11"/>
        <v>0</v>
      </c>
      <c r="AO29" s="26" t="e">
        <f t="shared" si="12"/>
        <v>#DIV/0!</v>
      </c>
      <c r="AP29" s="26" t="e">
        <f t="shared" si="13"/>
        <v>#DIV/0!</v>
      </c>
      <c r="AQ29" s="26" t="e">
        <f aca="true" t="shared" si="16" ref="AQ29:AQ54">AN29/AI29</f>
        <v>#DIV/0!</v>
      </c>
      <c r="AR29" s="26" t="e">
        <f t="shared" si="15"/>
        <v>#DIV/0!</v>
      </c>
      <c r="AS29" s="65"/>
      <c r="AT29" s="65"/>
      <c r="AU29" s="65"/>
      <c r="AV29" s="65"/>
      <c r="AW29" s="65"/>
      <c r="AX29" s="65"/>
      <c r="AY29" s="65"/>
      <c r="AZ29" s="65"/>
      <c r="BA29" s="65"/>
      <c r="BB29" s="65"/>
      <c r="BC29" s="65"/>
      <c r="BD29" s="65"/>
      <c r="BE29" s="65"/>
      <c r="BF29" s="65"/>
      <c r="BG29" s="65"/>
    </row>
    <row r="30" spans="1:59" s="27" customFormat="1" ht="11.25">
      <c r="A30" s="65"/>
      <c r="B30" s="23"/>
      <c r="C30" s="24"/>
      <c r="D30" s="52" t="e">
        <f>C30*(HLOOKUP("Gasoline",'Energy Conv Factors'!$A$6:$M$17,'General Info'!$E$7,FALSE))/1000</f>
        <v>#VALUE!</v>
      </c>
      <c r="E30" s="51"/>
      <c r="F30" s="52">
        <f t="shared" si="0"/>
        <v>0</v>
      </c>
      <c r="G30" s="24"/>
      <c r="H30" s="52" t="e">
        <f>G30*(HLOOKUP("Diesel",'Energy Conv Factors'!$A$6:$M$17,'General Info'!$E$7,FALSE))/1000</f>
        <v>#VALUE!</v>
      </c>
      <c r="I30" s="51"/>
      <c r="J30" s="52">
        <f t="shared" si="1"/>
        <v>0</v>
      </c>
      <c r="K30" s="24"/>
      <c r="L30" s="52" t="e">
        <f>K30*(HLOOKUP("Propane",'Energy Conv Factors'!$A$6:$M$17,'General Info'!$E$7,FALSE))/1000</f>
        <v>#VALUE!</v>
      </c>
      <c r="M30" s="51"/>
      <c r="N30" s="52">
        <f t="shared" si="2"/>
        <v>0</v>
      </c>
      <c r="O30" s="24"/>
      <c r="P30" s="52" t="e">
        <f>O30*(HLOOKUP("CNG",'Energy Conv Factors'!$A$6:$M$17,'General Info'!$E$7,FALSE))/1000</f>
        <v>#VALUE!</v>
      </c>
      <c r="Q30" s="51"/>
      <c r="R30" s="52">
        <f t="shared" si="3"/>
        <v>0</v>
      </c>
      <c r="S30" s="24"/>
      <c r="T30" s="52" t="e">
        <f>S30*(HLOOKUP("Ethanol Blend (10%)",'Energy Conv Factors'!$A$6:$M$17,'General Info'!$E$7,FALSE))/1000</f>
        <v>#VALUE!</v>
      </c>
      <c r="U30" s="51"/>
      <c r="V30" s="52">
        <f t="shared" si="4"/>
        <v>0</v>
      </c>
      <c r="W30" s="24"/>
      <c r="X30" s="52" t="e">
        <f>W30*(HLOOKUP("Biodiesel (B5)",'Energy Conv Factors'!$A$6:$M$17,'General Info'!$E$7,FALSE))/1000</f>
        <v>#VALUE!</v>
      </c>
      <c r="Y30" s="51"/>
      <c r="Z30" s="52">
        <f t="shared" si="5"/>
        <v>0</v>
      </c>
      <c r="AA30" s="24"/>
      <c r="AB30" s="52" t="e">
        <f>AA30*(HLOOKUP("Biodiesel (B10)",'Energy Conv Factors'!$A$6:$M$17,'General Info'!$E$7,FALSE))/1000</f>
        <v>#VALUE!</v>
      </c>
      <c r="AC30" s="51"/>
      <c r="AD30" s="52">
        <f t="shared" si="6"/>
        <v>0</v>
      </c>
      <c r="AE30" s="24"/>
      <c r="AF30" s="52" t="e">
        <f>AE30*(HLOOKUP("Biodiesel (B20)",'Energy Conv Factors'!$A$6:$M$17,'General Info'!$E$7,FALSE))/1000</f>
        <v>#VALUE!</v>
      </c>
      <c r="AG30" s="51"/>
      <c r="AH30" s="52">
        <f t="shared" si="7"/>
        <v>0</v>
      </c>
      <c r="AI30" s="53"/>
      <c r="AJ30" s="53"/>
      <c r="AK30" s="23">
        <f t="shared" si="8"/>
        <v>0</v>
      </c>
      <c r="AL30" s="25">
        <f t="shared" si="9"/>
        <v>0</v>
      </c>
      <c r="AM30" s="52" t="e">
        <f t="shared" si="10"/>
        <v>#VALUE!</v>
      </c>
      <c r="AN30" s="52">
        <f t="shared" si="11"/>
        <v>0</v>
      </c>
      <c r="AO30" s="26" t="e">
        <f t="shared" si="12"/>
        <v>#DIV/0!</v>
      </c>
      <c r="AP30" s="26" t="e">
        <f t="shared" si="13"/>
        <v>#DIV/0!</v>
      </c>
      <c r="AQ30" s="26" t="e">
        <f t="shared" si="16"/>
        <v>#DIV/0!</v>
      </c>
      <c r="AR30" s="26" t="e">
        <f t="shared" si="15"/>
        <v>#DIV/0!</v>
      </c>
      <c r="AS30" s="65"/>
      <c r="AT30" s="65"/>
      <c r="AU30" s="65"/>
      <c r="AV30" s="65"/>
      <c r="AW30" s="65"/>
      <c r="AX30" s="65"/>
      <c r="AY30" s="65"/>
      <c r="AZ30" s="65"/>
      <c r="BA30" s="65"/>
      <c r="BB30" s="65"/>
      <c r="BC30" s="65"/>
      <c r="BD30" s="65"/>
      <c r="BE30" s="65"/>
      <c r="BF30" s="65"/>
      <c r="BG30" s="65"/>
    </row>
    <row r="31" spans="1:59" s="27" customFormat="1" ht="11.25">
      <c r="A31" s="65"/>
      <c r="B31" s="23"/>
      <c r="C31" s="24"/>
      <c r="D31" s="52" t="e">
        <f>C31*(HLOOKUP("Gasoline",'Energy Conv Factors'!$A$6:$M$17,'General Info'!$E$7,FALSE))/1000</f>
        <v>#VALUE!</v>
      </c>
      <c r="E31" s="51"/>
      <c r="F31" s="52">
        <f t="shared" si="0"/>
        <v>0</v>
      </c>
      <c r="G31" s="24"/>
      <c r="H31" s="52" t="e">
        <f>G31*(HLOOKUP("Diesel",'Energy Conv Factors'!$A$6:$M$17,'General Info'!$E$7,FALSE))/1000</f>
        <v>#VALUE!</v>
      </c>
      <c r="I31" s="51"/>
      <c r="J31" s="52">
        <f t="shared" si="1"/>
        <v>0</v>
      </c>
      <c r="K31" s="24"/>
      <c r="L31" s="52" t="e">
        <f>K31*(HLOOKUP("Propane",'Energy Conv Factors'!$A$6:$M$17,'General Info'!$E$7,FALSE))/1000</f>
        <v>#VALUE!</v>
      </c>
      <c r="M31" s="51"/>
      <c r="N31" s="52">
        <f t="shared" si="2"/>
        <v>0</v>
      </c>
      <c r="O31" s="24"/>
      <c r="P31" s="52" t="e">
        <f>O31*(HLOOKUP("CNG",'Energy Conv Factors'!$A$6:$M$17,'General Info'!$E$7,FALSE))/1000</f>
        <v>#VALUE!</v>
      </c>
      <c r="Q31" s="51"/>
      <c r="R31" s="52">
        <f t="shared" si="3"/>
        <v>0</v>
      </c>
      <c r="S31" s="24"/>
      <c r="T31" s="52" t="e">
        <f>S31*(HLOOKUP("Ethanol Blend (10%)",'Energy Conv Factors'!$A$6:$M$17,'General Info'!$E$7,FALSE))/1000</f>
        <v>#VALUE!</v>
      </c>
      <c r="U31" s="51"/>
      <c r="V31" s="52">
        <f t="shared" si="4"/>
        <v>0</v>
      </c>
      <c r="W31" s="24"/>
      <c r="X31" s="52" t="e">
        <f>W31*(HLOOKUP("Biodiesel (B5)",'Energy Conv Factors'!$A$6:$M$17,'General Info'!$E$7,FALSE))/1000</f>
        <v>#VALUE!</v>
      </c>
      <c r="Y31" s="51"/>
      <c r="Z31" s="52">
        <f t="shared" si="5"/>
        <v>0</v>
      </c>
      <c r="AA31" s="24"/>
      <c r="AB31" s="52" t="e">
        <f>AA31*(HLOOKUP("Biodiesel (B10)",'Energy Conv Factors'!$A$6:$M$17,'General Info'!$E$7,FALSE))/1000</f>
        <v>#VALUE!</v>
      </c>
      <c r="AC31" s="51"/>
      <c r="AD31" s="52">
        <f t="shared" si="6"/>
        <v>0</v>
      </c>
      <c r="AE31" s="24"/>
      <c r="AF31" s="52" t="e">
        <f>AE31*(HLOOKUP("Biodiesel (B20)",'Energy Conv Factors'!$A$6:$M$17,'General Info'!$E$7,FALSE))/1000</f>
        <v>#VALUE!</v>
      </c>
      <c r="AG31" s="51"/>
      <c r="AH31" s="52">
        <f t="shared" si="7"/>
        <v>0</v>
      </c>
      <c r="AI31" s="53"/>
      <c r="AJ31" s="53"/>
      <c r="AK31" s="23">
        <f t="shared" si="8"/>
        <v>0</v>
      </c>
      <c r="AL31" s="25">
        <f t="shared" si="9"/>
        <v>0</v>
      </c>
      <c r="AM31" s="52" t="e">
        <f t="shared" si="10"/>
        <v>#VALUE!</v>
      </c>
      <c r="AN31" s="52">
        <f t="shared" si="11"/>
        <v>0</v>
      </c>
      <c r="AO31" s="26" t="e">
        <f t="shared" si="12"/>
        <v>#DIV/0!</v>
      </c>
      <c r="AP31" s="26" t="e">
        <f t="shared" si="13"/>
        <v>#DIV/0!</v>
      </c>
      <c r="AQ31" s="26" t="e">
        <f t="shared" si="16"/>
        <v>#DIV/0!</v>
      </c>
      <c r="AR31" s="26" t="e">
        <f t="shared" si="15"/>
        <v>#DIV/0!</v>
      </c>
      <c r="AS31" s="65"/>
      <c r="AT31" s="65"/>
      <c r="AU31" s="65"/>
      <c r="AV31" s="65"/>
      <c r="AW31" s="65"/>
      <c r="AX31" s="65"/>
      <c r="AY31" s="65"/>
      <c r="AZ31" s="65"/>
      <c r="BA31" s="65"/>
      <c r="BB31" s="65"/>
      <c r="BC31" s="65"/>
      <c r="BD31" s="65"/>
      <c r="BE31" s="65"/>
      <c r="BF31" s="65"/>
      <c r="BG31" s="65"/>
    </row>
    <row r="32" spans="1:59" s="27" customFormat="1" ht="11.25">
      <c r="A32" s="65"/>
      <c r="B32" s="23"/>
      <c r="C32" s="24"/>
      <c r="D32" s="52" t="e">
        <f>C32*(HLOOKUP("Gasoline",'Energy Conv Factors'!$A$6:$M$17,'General Info'!$E$7,FALSE))/1000</f>
        <v>#VALUE!</v>
      </c>
      <c r="E32" s="51"/>
      <c r="F32" s="52">
        <f t="shared" si="0"/>
        <v>0</v>
      </c>
      <c r="G32" s="24"/>
      <c r="H32" s="52" t="e">
        <f>G32*(HLOOKUP("Diesel",'Energy Conv Factors'!$A$6:$M$17,'General Info'!$E$7,FALSE))/1000</f>
        <v>#VALUE!</v>
      </c>
      <c r="I32" s="51"/>
      <c r="J32" s="52">
        <f t="shared" si="1"/>
        <v>0</v>
      </c>
      <c r="K32" s="24"/>
      <c r="L32" s="52" t="e">
        <f>K32*(HLOOKUP("Propane",'Energy Conv Factors'!$A$6:$M$17,'General Info'!$E$7,FALSE))/1000</f>
        <v>#VALUE!</v>
      </c>
      <c r="M32" s="51"/>
      <c r="N32" s="52">
        <f t="shared" si="2"/>
        <v>0</v>
      </c>
      <c r="O32" s="24"/>
      <c r="P32" s="52" t="e">
        <f>O32*(HLOOKUP("CNG",'Energy Conv Factors'!$A$6:$M$17,'General Info'!$E$7,FALSE))/1000</f>
        <v>#VALUE!</v>
      </c>
      <c r="Q32" s="51"/>
      <c r="R32" s="52">
        <f t="shared" si="3"/>
        <v>0</v>
      </c>
      <c r="S32" s="24"/>
      <c r="T32" s="52" t="e">
        <f>S32*(HLOOKUP("Ethanol Blend (10%)",'Energy Conv Factors'!$A$6:$M$17,'General Info'!$E$7,FALSE))/1000</f>
        <v>#VALUE!</v>
      </c>
      <c r="U32" s="51"/>
      <c r="V32" s="52">
        <f t="shared" si="4"/>
        <v>0</v>
      </c>
      <c r="W32" s="24"/>
      <c r="X32" s="52" t="e">
        <f>W32*(HLOOKUP("Biodiesel (B5)",'Energy Conv Factors'!$A$6:$M$17,'General Info'!$E$7,FALSE))/1000</f>
        <v>#VALUE!</v>
      </c>
      <c r="Y32" s="51"/>
      <c r="Z32" s="52">
        <f t="shared" si="5"/>
        <v>0</v>
      </c>
      <c r="AA32" s="24"/>
      <c r="AB32" s="52" t="e">
        <f>AA32*(HLOOKUP("Biodiesel (B10)",'Energy Conv Factors'!$A$6:$M$17,'General Info'!$E$7,FALSE))/1000</f>
        <v>#VALUE!</v>
      </c>
      <c r="AC32" s="51"/>
      <c r="AD32" s="52">
        <f t="shared" si="6"/>
        <v>0</v>
      </c>
      <c r="AE32" s="24"/>
      <c r="AF32" s="52" t="e">
        <f>AE32*(HLOOKUP("Biodiesel (B20)",'Energy Conv Factors'!$A$6:$M$17,'General Info'!$E$7,FALSE))/1000</f>
        <v>#VALUE!</v>
      </c>
      <c r="AG32" s="51"/>
      <c r="AH32" s="52">
        <f t="shared" si="7"/>
        <v>0</v>
      </c>
      <c r="AI32" s="53"/>
      <c r="AJ32" s="53"/>
      <c r="AK32" s="23">
        <f t="shared" si="8"/>
        <v>0</v>
      </c>
      <c r="AL32" s="25">
        <f t="shared" si="9"/>
        <v>0</v>
      </c>
      <c r="AM32" s="52" t="e">
        <f t="shared" si="10"/>
        <v>#VALUE!</v>
      </c>
      <c r="AN32" s="52">
        <f t="shared" si="11"/>
        <v>0</v>
      </c>
      <c r="AO32" s="26" t="e">
        <f t="shared" si="12"/>
        <v>#DIV/0!</v>
      </c>
      <c r="AP32" s="26" t="e">
        <f t="shared" si="13"/>
        <v>#DIV/0!</v>
      </c>
      <c r="AQ32" s="26" t="e">
        <f t="shared" si="16"/>
        <v>#DIV/0!</v>
      </c>
      <c r="AR32" s="26" t="e">
        <f t="shared" si="15"/>
        <v>#DIV/0!</v>
      </c>
      <c r="AS32" s="65"/>
      <c r="AT32" s="65"/>
      <c r="AU32" s="65"/>
      <c r="AV32" s="65"/>
      <c r="AW32" s="65"/>
      <c r="AX32" s="65"/>
      <c r="AY32" s="65"/>
      <c r="AZ32" s="65"/>
      <c r="BA32" s="65"/>
      <c r="BB32" s="65"/>
      <c r="BC32" s="65"/>
      <c r="BD32" s="65"/>
      <c r="BE32" s="65"/>
      <c r="BF32" s="65"/>
      <c r="BG32" s="65"/>
    </row>
    <row r="33" spans="1:59" s="27" customFormat="1" ht="11.25">
      <c r="A33" s="65"/>
      <c r="B33" s="23"/>
      <c r="C33" s="24"/>
      <c r="D33" s="52" t="e">
        <f>C33*(HLOOKUP("Gasoline",'Energy Conv Factors'!$A$6:$M$17,'General Info'!$E$7,FALSE))/1000</f>
        <v>#VALUE!</v>
      </c>
      <c r="E33" s="51"/>
      <c r="F33" s="52">
        <f t="shared" si="0"/>
        <v>0</v>
      </c>
      <c r="G33" s="24"/>
      <c r="H33" s="52" t="e">
        <f>G33*(HLOOKUP("Diesel",'Energy Conv Factors'!$A$6:$M$17,'General Info'!$E$7,FALSE))/1000</f>
        <v>#VALUE!</v>
      </c>
      <c r="I33" s="51"/>
      <c r="J33" s="52">
        <f t="shared" si="1"/>
        <v>0</v>
      </c>
      <c r="K33" s="24"/>
      <c r="L33" s="52" t="e">
        <f>K33*(HLOOKUP("Propane",'Energy Conv Factors'!$A$6:$M$17,'General Info'!$E$7,FALSE))/1000</f>
        <v>#VALUE!</v>
      </c>
      <c r="M33" s="51"/>
      <c r="N33" s="52">
        <f t="shared" si="2"/>
        <v>0</v>
      </c>
      <c r="O33" s="24"/>
      <c r="P33" s="52" t="e">
        <f>O33*(HLOOKUP("CNG",'Energy Conv Factors'!$A$6:$M$17,'General Info'!$E$7,FALSE))/1000</f>
        <v>#VALUE!</v>
      </c>
      <c r="Q33" s="51"/>
      <c r="R33" s="52">
        <f t="shared" si="3"/>
        <v>0</v>
      </c>
      <c r="S33" s="24"/>
      <c r="T33" s="52" t="e">
        <f>S33*(HLOOKUP("Ethanol Blend (10%)",'Energy Conv Factors'!$A$6:$M$17,'General Info'!$E$7,FALSE))/1000</f>
        <v>#VALUE!</v>
      </c>
      <c r="U33" s="51"/>
      <c r="V33" s="52">
        <f t="shared" si="4"/>
        <v>0</v>
      </c>
      <c r="W33" s="24"/>
      <c r="X33" s="52" t="e">
        <f>W33*(HLOOKUP("Biodiesel (B5)",'Energy Conv Factors'!$A$6:$M$17,'General Info'!$E$7,FALSE))/1000</f>
        <v>#VALUE!</v>
      </c>
      <c r="Y33" s="51"/>
      <c r="Z33" s="52">
        <f t="shared" si="5"/>
        <v>0</v>
      </c>
      <c r="AA33" s="24"/>
      <c r="AB33" s="52" t="e">
        <f>AA33*(HLOOKUP("Biodiesel (B10)",'Energy Conv Factors'!$A$6:$M$17,'General Info'!$E$7,FALSE))/1000</f>
        <v>#VALUE!</v>
      </c>
      <c r="AC33" s="51"/>
      <c r="AD33" s="52">
        <f t="shared" si="6"/>
        <v>0</v>
      </c>
      <c r="AE33" s="24"/>
      <c r="AF33" s="52" t="e">
        <f>AE33*(HLOOKUP("Biodiesel (B20)",'Energy Conv Factors'!$A$6:$M$17,'General Info'!$E$7,FALSE))/1000</f>
        <v>#VALUE!</v>
      </c>
      <c r="AG33" s="51"/>
      <c r="AH33" s="52">
        <f t="shared" si="7"/>
        <v>0</v>
      </c>
      <c r="AI33" s="53"/>
      <c r="AJ33" s="53"/>
      <c r="AK33" s="23">
        <f t="shared" si="8"/>
        <v>0</v>
      </c>
      <c r="AL33" s="25">
        <f t="shared" si="9"/>
        <v>0</v>
      </c>
      <c r="AM33" s="52" t="e">
        <f t="shared" si="10"/>
        <v>#VALUE!</v>
      </c>
      <c r="AN33" s="52">
        <f t="shared" si="11"/>
        <v>0</v>
      </c>
      <c r="AO33" s="26" t="e">
        <f t="shared" si="12"/>
        <v>#DIV/0!</v>
      </c>
      <c r="AP33" s="26" t="e">
        <f t="shared" si="13"/>
        <v>#DIV/0!</v>
      </c>
      <c r="AQ33" s="26" t="e">
        <f t="shared" si="16"/>
        <v>#DIV/0!</v>
      </c>
      <c r="AR33" s="26" t="e">
        <f t="shared" si="15"/>
        <v>#DIV/0!</v>
      </c>
      <c r="AS33" s="65"/>
      <c r="AT33" s="65"/>
      <c r="AU33" s="65"/>
      <c r="AV33" s="65"/>
      <c r="AW33" s="65"/>
      <c r="AX33" s="65"/>
      <c r="AY33" s="65"/>
      <c r="AZ33" s="65"/>
      <c r="BA33" s="65"/>
      <c r="BB33" s="65"/>
      <c r="BC33" s="65"/>
      <c r="BD33" s="65"/>
      <c r="BE33" s="65"/>
      <c r="BF33" s="65"/>
      <c r="BG33" s="65"/>
    </row>
    <row r="34" spans="1:59" s="27" customFormat="1" ht="11.25">
      <c r="A34" s="65"/>
      <c r="B34" s="23"/>
      <c r="C34" s="24"/>
      <c r="D34" s="52" t="e">
        <f>C34*(HLOOKUP("Gasoline",'Energy Conv Factors'!$A$6:$M$17,'General Info'!$E$7,FALSE))/1000</f>
        <v>#VALUE!</v>
      </c>
      <c r="E34" s="51"/>
      <c r="F34" s="52">
        <f t="shared" si="0"/>
        <v>0</v>
      </c>
      <c r="G34" s="24"/>
      <c r="H34" s="52" t="e">
        <f>G34*(HLOOKUP("Diesel",'Energy Conv Factors'!$A$6:$M$17,'General Info'!$E$7,FALSE))/1000</f>
        <v>#VALUE!</v>
      </c>
      <c r="I34" s="51"/>
      <c r="J34" s="52">
        <f t="shared" si="1"/>
        <v>0</v>
      </c>
      <c r="K34" s="24"/>
      <c r="L34" s="52" t="e">
        <f>K34*(HLOOKUP("Propane",'Energy Conv Factors'!$A$6:$M$17,'General Info'!$E$7,FALSE))/1000</f>
        <v>#VALUE!</v>
      </c>
      <c r="M34" s="51"/>
      <c r="N34" s="52">
        <f t="shared" si="2"/>
        <v>0</v>
      </c>
      <c r="O34" s="24"/>
      <c r="P34" s="52" t="e">
        <f>O34*(HLOOKUP("CNG",'Energy Conv Factors'!$A$6:$M$17,'General Info'!$E$7,FALSE))/1000</f>
        <v>#VALUE!</v>
      </c>
      <c r="Q34" s="51"/>
      <c r="R34" s="52">
        <f t="shared" si="3"/>
        <v>0</v>
      </c>
      <c r="S34" s="24"/>
      <c r="T34" s="52" t="e">
        <f>S34*(HLOOKUP("Ethanol Blend (10%)",'Energy Conv Factors'!$A$6:$M$17,'General Info'!$E$7,FALSE))/1000</f>
        <v>#VALUE!</v>
      </c>
      <c r="U34" s="51"/>
      <c r="V34" s="52">
        <f t="shared" si="4"/>
        <v>0</v>
      </c>
      <c r="W34" s="24"/>
      <c r="X34" s="52" t="e">
        <f>W34*(HLOOKUP("Biodiesel (B5)",'Energy Conv Factors'!$A$6:$M$17,'General Info'!$E$7,FALSE))/1000</f>
        <v>#VALUE!</v>
      </c>
      <c r="Y34" s="51"/>
      <c r="Z34" s="52">
        <f t="shared" si="5"/>
        <v>0</v>
      </c>
      <c r="AA34" s="24"/>
      <c r="AB34" s="52" t="e">
        <f>AA34*(HLOOKUP("Biodiesel (B10)",'Energy Conv Factors'!$A$6:$M$17,'General Info'!$E$7,FALSE))/1000</f>
        <v>#VALUE!</v>
      </c>
      <c r="AC34" s="51"/>
      <c r="AD34" s="52">
        <f t="shared" si="6"/>
        <v>0</v>
      </c>
      <c r="AE34" s="24"/>
      <c r="AF34" s="52" t="e">
        <f>AE34*(HLOOKUP("Biodiesel (B20)",'Energy Conv Factors'!$A$6:$M$17,'General Info'!$E$7,FALSE))/1000</f>
        <v>#VALUE!</v>
      </c>
      <c r="AG34" s="51"/>
      <c r="AH34" s="52">
        <f t="shared" si="7"/>
        <v>0</v>
      </c>
      <c r="AI34" s="53"/>
      <c r="AJ34" s="53"/>
      <c r="AK34" s="23">
        <f t="shared" si="8"/>
        <v>0</v>
      </c>
      <c r="AL34" s="25">
        <f t="shared" si="9"/>
        <v>0</v>
      </c>
      <c r="AM34" s="52" t="e">
        <f t="shared" si="10"/>
        <v>#VALUE!</v>
      </c>
      <c r="AN34" s="52">
        <f t="shared" si="11"/>
        <v>0</v>
      </c>
      <c r="AO34" s="26" t="e">
        <f t="shared" si="12"/>
        <v>#DIV/0!</v>
      </c>
      <c r="AP34" s="26" t="e">
        <f t="shared" si="13"/>
        <v>#DIV/0!</v>
      </c>
      <c r="AQ34" s="26" t="e">
        <f t="shared" si="16"/>
        <v>#DIV/0!</v>
      </c>
      <c r="AR34" s="26" t="e">
        <f t="shared" si="15"/>
        <v>#DIV/0!</v>
      </c>
      <c r="AS34" s="65"/>
      <c r="AT34" s="65"/>
      <c r="AU34" s="65"/>
      <c r="AV34" s="65"/>
      <c r="AW34" s="65"/>
      <c r="AX34" s="65"/>
      <c r="AY34" s="65"/>
      <c r="AZ34" s="65"/>
      <c r="BA34" s="65"/>
      <c r="BB34" s="65"/>
      <c r="BC34" s="65"/>
      <c r="BD34" s="65"/>
      <c r="BE34" s="65"/>
      <c r="BF34" s="65"/>
      <c r="BG34" s="65"/>
    </row>
    <row r="35" spans="1:59" s="27" customFormat="1" ht="11.25">
      <c r="A35" s="65"/>
      <c r="B35" s="23"/>
      <c r="C35" s="24"/>
      <c r="D35" s="52" t="e">
        <f>C35*(HLOOKUP("Gasoline",'Energy Conv Factors'!$A$6:$M$17,'General Info'!$E$7,FALSE))/1000</f>
        <v>#VALUE!</v>
      </c>
      <c r="E35" s="51"/>
      <c r="F35" s="52">
        <f t="shared" si="0"/>
        <v>0</v>
      </c>
      <c r="G35" s="24"/>
      <c r="H35" s="52" t="e">
        <f>G35*(HLOOKUP("Diesel",'Energy Conv Factors'!$A$6:$M$17,'General Info'!$E$7,FALSE))/1000</f>
        <v>#VALUE!</v>
      </c>
      <c r="I35" s="51"/>
      <c r="J35" s="52">
        <f t="shared" si="1"/>
        <v>0</v>
      </c>
      <c r="K35" s="24"/>
      <c r="L35" s="52" t="e">
        <f>K35*(HLOOKUP("Propane",'Energy Conv Factors'!$A$6:$M$17,'General Info'!$E$7,FALSE))/1000</f>
        <v>#VALUE!</v>
      </c>
      <c r="M35" s="51"/>
      <c r="N35" s="52">
        <f t="shared" si="2"/>
        <v>0</v>
      </c>
      <c r="O35" s="24"/>
      <c r="P35" s="52" t="e">
        <f>O35*(HLOOKUP("CNG",'Energy Conv Factors'!$A$6:$M$17,'General Info'!$E$7,FALSE))/1000</f>
        <v>#VALUE!</v>
      </c>
      <c r="Q35" s="51"/>
      <c r="R35" s="52">
        <f t="shared" si="3"/>
        <v>0</v>
      </c>
      <c r="S35" s="24"/>
      <c r="T35" s="52" t="e">
        <f>S35*(HLOOKUP("Ethanol Blend (10%)",'Energy Conv Factors'!$A$6:$M$17,'General Info'!$E$7,FALSE))/1000</f>
        <v>#VALUE!</v>
      </c>
      <c r="U35" s="51"/>
      <c r="V35" s="52">
        <f t="shared" si="4"/>
        <v>0</v>
      </c>
      <c r="W35" s="24"/>
      <c r="X35" s="52" t="e">
        <f>W35*(HLOOKUP("Biodiesel (B5)",'Energy Conv Factors'!$A$6:$M$17,'General Info'!$E$7,FALSE))/1000</f>
        <v>#VALUE!</v>
      </c>
      <c r="Y35" s="51"/>
      <c r="Z35" s="52">
        <f t="shared" si="5"/>
        <v>0</v>
      </c>
      <c r="AA35" s="24"/>
      <c r="AB35" s="52" t="e">
        <f>AA35*(HLOOKUP("Biodiesel (B10)",'Energy Conv Factors'!$A$6:$M$17,'General Info'!$E$7,FALSE))/1000</f>
        <v>#VALUE!</v>
      </c>
      <c r="AC35" s="51"/>
      <c r="AD35" s="52">
        <f t="shared" si="6"/>
        <v>0</v>
      </c>
      <c r="AE35" s="24"/>
      <c r="AF35" s="52" t="e">
        <f>AE35*(HLOOKUP("Biodiesel (B20)",'Energy Conv Factors'!$A$6:$M$17,'General Info'!$E$7,FALSE))/1000</f>
        <v>#VALUE!</v>
      </c>
      <c r="AG35" s="51"/>
      <c r="AH35" s="52">
        <f t="shared" si="7"/>
        <v>0</v>
      </c>
      <c r="AI35" s="53"/>
      <c r="AJ35" s="53"/>
      <c r="AK35" s="23">
        <f t="shared" si="8"/>
        <v>0</v>
      </c>
      <c r="AL35" s="25">
        <f t="shared" si="9"/>
        <v>0</v>
      </c>
      <c r="AM35" s="52" t="e">
        <f t="shared" si="10"/>
        <v>#VALUE!</v>
      </c>
      <c r="AN35" s="52">
        <f t="shared" si="11"/>
        <v>0</v>
      </c>
      <c r="AO35" s="26" t="e">
        <f t="shared" si="12"/>
        <v>#DIV/0!</v>
      </c>
      <c r="AP35" s="26" t="e">
        <f t="shared" si="13"/>
        <v>#DIV/0!</v>
      </c>
      <c r="AQ35" s="26" t="e">
        <f t="shared" si="16"/>
        <v>#DIV/0!</v>
      </c>
      <c r="AR35" s="26" t="e">
        <f t="shared" si="15"/>
        <v>#DIV/0!</v>
      </c>
      <c r="AS35" s="65"/>
      <c r="AT35" s="65"/>
      <c r="AU35" s="65"/>
      <c r="AV35" s="65"/>
      <c r="AW35" s="65"/>
      <c r="AX35" s="65"/>
      <c r="AY35" s="65"/>
      <c r="AZ35" s="65"/>
      <c r="BA35" s="65"/>
      <c r="BB35" s="65"/>
      <c r="BC35" s="65"/>
      <c r="BD35" s="65"/>
      <c r="BE35" s="65"/>
      <c r="BF35" s="65"/>
      <c r="BG35" s="65"/>
    </row>
    <row r="36" spans="1:59" s="27" customFormat="1" ht="11.25">
      <c r="A36" s="65"/>
      <c r="B36" s="23"/>
      <c r="C36" s="24"/>
      <c r="D36" s="52" t="e">
        <f>C36*(HLOOKUP("Gasoline",'Energy Conv Factors'!$A$6:$M$17,'General Info'!$E$7,FALSE))/1000</f>
        <v>#VALUE!</v>
      </c>
      <c r="E36" s="51"/>
      <c r="F36" s="52">
        <f t="shared" si="0"/>
        <v>0</v>
      </c>
      <c r="G36" s="24"/>
      <c r="H36" s="52" t="e">
        <f>G36*(HLOOKUP("Diesel",'Energy Conv Factors'!$A$6:$M$17,'General Info'!$E$7,FALSE))/1000</f>
        <v>#VALUE!</v>
      </c>
      <c r="I36" s="51"/>
      <c r="J36" s="52">
        <f t="shared" si="1"/>
        <v>0</v>
      </c>
      <c r="K36" s="24"/>
      <c r="L36" s="52" t="e">
        <f>K36*(HLOOKUP("Propane",'Energy Conv Factors'!$A$6:$M$17,'General Info'!$E$7,FALSE))/1000</f>
        <v>#VALUE!</v>
      </c>
      <c r="M36" s="51"/>
      <c r="N36" s="52">
        <f t="shared" si="2"/>
        <v>0</v>
      </c>
      <c r="O36" s="24"/>
      <c r="P36" s="52" t="e">
        <f>O36*(HLOOKUP("CNG",'Energy Conv Factors'!$A$6:$M$17,'General Info'!$E$7,FALSE))/1000</f>
        <v>#VALUE!</v>
      </c>
      <c r="Q36" s="51"/>
      <c r="R36" s="52">
        <f t="shared" si="3"/>
        <v>0</v>
      </c>
      <c r="S36" s="24"/>
      <c r="T36" s="52" t="e">
        <f>S36*(HLOOKUP("Ethanol Blend (10%)",'Energy Conv Factors'!$A$6:$M$17,'General Info'!$E$7,FALSE))/1000</f>
        <v>#VALUE!</v>
      </c>
      <c r="U36" s="51"/>
      <c r="V36" s="52">
        <f t="shared" si="4"/>
        <v>0</v>
      </c>
      <c r="W36" s="24"/>
      <c r="X36" s="52" t="e">
        <f>W36*(HLOOKUP("Biodiesel (B5)",'Energy Conv Factors'!$A$6:$M$17,'General Info'!$E$7,FALSE))/1000</f>
        <v>#VALUE!</v>
      </c>
      <c r="Y36" s="51"/>
      <c r="Z36" s="52">
        <f t="shared" si="5"/>
        <v>0</v>
      </c>
      <c r="AA36" s="24"/>
      <c r="AB36" s="52" t="e">
        <f>AA36*(HLOOKUP("Biodiesel (B10)",'Energy Conv Factors'!$A$6:$M$17,'General Info'!$E$7,FALSE))/1000</f>
        <v>#VALUE!</v>
      </c>
      <c r="AC36" s="51"/>
      <c r="AD36" s="52">
        <f t="shared" si="6"/>
        <v>0</v>
      </c>
      <c r="AE36" s="24"/>
      <c r="AF36" s="52" t="e">
        <f>AE36*(HLOOKUP("Biodiesel (B20)",'Energy Conv Factors'!$A$6:$M$17,'General Info'!$E$7,FALSE))/1000</f>
        <v>#VALUE!</v>
      </c>
      <c r="AG36" s="51"/>
      <c r="AH36" s="52">
        <f t="shared" si="7"/>
        <v>0</v>
      </c>
      <c r="AI36" s="53"/>
      <c r="AJ36" s="53"/>
      <c r="AK36" s="23">
        <f t="shared" si="8"/>
        <v>0</v>
      </c>
      <c r="AL36" s="25">
        <f t="shared" si="9"/>
        <v>0</v>
      </c>
      <c r="AM36" s="52" t="e">
        <f t="shared" si="10"/>
        <v>#VALUE!</v>
      </c>
      <c r="AN36" s="52">
        <f t="shared" si="11"/>
        <v>0</v>
      </c>
      <c r="AO36" s="26" t="e">
        <f t="shared" si="12"/>
        <v>#DIV/0!</v>
      </c>
      <c r="AP36" s="26" t="e">
        <f t="shared" si="13"/>
        <v>#DIV/0!</v>
      </c>
      <c r="AQ36" s="26" t="e">
        <f t="shared" si="16"/>
        <v>#DIV/0!</v>
      </c>
      <c r="AR36" s="26" t="e">
        <f t="shared" si="15"/>
        <v>#DIV/0!</v>
      </c>
      <c r="AS36" s="65"/>
      <c r="AT36" s="65"/>
      <c r="AU36" s="65"/>
      <c r="AV36" s="65"/>
      <c r="AW36" s="65"/>
      <c r="AX36" s="65"/>
      <c r="AY36" s="65"/>
      <c r="AZ36" s="65"/>
      <c r="BA36" s="65"/>
      <c r="BB36" s="65"/>
      <c r="BC36" s="65"/>
      <c r="BD36" s="65"/>
      <c r="BE36" s="65"/>
      <c r="BF36" s="65"/>
      <c r="BG36" s="65"/>
    </row>
    <row r="37" spans="1:59" s="27" customFormat="1" ht="11.25">
      <c r="A37" s="65"/>
      <c r="B37" s="23"/>
      <c r="C37" s="24"/>
      <c r="D37" s="52" t="e">
        <f>C37*(HLOOKUP("Gasoline",'Energy Conv Factors'!$A$6:$M$17,'General Info'!$E$7,FALSE))/1000</f>
        <v>#VALUE!</v>
      </c>
      <c r="E37" s="51"/>
      <c r="F37" s="52">
        <f t="shared" si="0"/>
        <v>0</v>
      </c>
      <c r="G37" s="24"/>
      <c r="H37" s="52" t="e">
        <f>G37*(HLOOKUP("Diesel",'Energy Conv Factors'!$A$6:$M$17,'General Info'!$E$7,FALSE))/1000</f>
        <v>#VALUE!</v>
      </c>
      <c r="I37" s="51"/>
      <c r="J37" s="52">
        <f t="shared" si="1"/>
        <v>0</v>
      </c>
      <c r="K37" s="24"/>
      <c r="L37" s="52" t="e">
        <f>K37*(HLOOKUP("Propane",'Energy Conv Factors'!$A$6:$M$17,'General Info'!$E$7,FALSE))/1000</f>
        <v>#VALUE!</v>
      </c>
      <c r="M37" s="51"/>
      <c r="N37" s="52">
        <f t="shared" si="2"/>
        <v>0</v>
      </c>
      <c r="O37" s="24"/>
      <c r="P37" s="52" t="e">
        <f>O37*(HLOOKUP("CNG",'Energy Conv Factors'!$A$6:$M$17,'General Info'!$E$7,FALSE))/1000</f>
        <v>#VALUE!</v>
      </c>
      <c r="Q37" s="51"/>
      <c r="R37" s="52">
        <f t="shared" si="3"/>
        <v>0</v>
      </c>
      <c r="S37" s="24"/>
      <c r="T37" s="52" t="e">
        <f>S37*(HLOOKUP("Ethanol Blend (10%)",'Energy Conv Factors'!$A$6:$M$17,'General Info'!$E$7,FALSE))/1000</f>
        <v>#VALUE!</v>
      </c>
      <c r="U37" s="51"/>
      <c r="V37" s="52">
        <f t="shared" si="4"/>
        <v>0</v>
      </c>
      <c r="W37" s="24"/>
      <c r="X37" s="52" t="e">
        <f>W37*(HLOOKUP("Biodiesel (B5)",'Energy Conv Factors'!$A$6:$M$17,'General Info'!$E$7,FALSE))/1000</f>
        <v>#VALUE!</v>
      </c>
      <c r="Y37" s="51"/>
      <c r="Z37" s="52">
        <f t="shared" si="5"/>
        <v>0</v>
      </c>
      <c r="AA37" s="24"/>
      <c r="AB37" s="52" t="e">
        <f>AA37*(HLOOKUP("Biodiesel (B10)",'Energy Conv Factors'!$A$6:$M$17,'General Info'!$E$7,FALSE))/1000</f>
        <v>#VALUE!</v>
      </c>
      <c r="AC37" s="51"/>
      <c r="AD37" s="52">
        <f t="shared" si="6"/>
        <v>0</v>
      </c>
      <c r="AE37" s="24"/>
      <c r="AF37" s="52" t="e">
        <f>AE37*(HLOOKUP("Biodiesel (B20)",'Energy Conv Factors'!$A$6:$M$17,'General Info'!$E$7,FALSE))/1000</f>
        <v>#VALUE!</v>
      </c>
      <c r="AG37" s="51"/>
      <c r="AH37" s="52">
        <f t="shared" si="7"/>
        <v>0</v>
      </c>
      <c r="AI37" s="53"/>
      <c r="AJ37" s="53"/>
      <c r="AK37" s="23">
        <f t="shared" si="8"/>
        <v>0</v>
      </c>
      <c r="AL37" s="25">
        <f t="shared" si="9"/>
        <v>0</v>
      </c>
      <c r="AM37" s="52" t="e">
        <f t="shared" si="10"/>
        <v>#VALUE!</v>
      </c>
      <c r="AN37" s="52">
        <f t="shared" si="11"/>
        <v>0</v>
      </c>
      <c r="AO37" s="26" t="e">
        <f t="shared" si="12"/>
        <v>#DIV/0!</v>
      </c>
      <c r="AP37" s="26" t="e">
        <f t="shared" si="13"/>
        <v>#DIV/0!</v>
      </c>
      <c r="AQ37" s="26" t="e">
        <f t="shared" si="16"/>
        <v>#DIV/0!</v>
      </c>
      <c r="AR37" s="26" t="e">
        <f t="shared" si="15"/>
        <v>#DIV/0!</v>
      </c>
      <c r="AS37" s="65"/>
      <c r="AT37" s="65"/>
      <c r="AU37" s="65"/>
      <c r="AV37" s="65"/>
      <c r="AW37" s="65"/>
      <c r="AX37" s="65"/>
      <c r="AY37" s="65"/>
      <c r="AZ37" s="65"/>
      <c r="BA37" s="65"/>
      <c r="BB37" s="65"/>
      <c r="BC37" s="65"/>
      <c r="BD37" s="65"/>
      <c r="BE37" s="65"/>
      <c r="BF37" s="65"/>
      <c r="BG37" s="65"/>
    </row>
    <row r="38" spans="1:59" s="27" customFormat="1" ht="11.25">
      <c r="A38" s="65"/>
      <c r="B38" s="23"/>
      <c r="C38" s="24"/>
      <c r="D38" s="52" t="e">
        <f>C38*(HLOOKUP("Gasoline",'Energy Conv Factors'!$A$6:$M$17,'General Info'!$E$7,FALSE))/1000</f>
        <v>#VALUE!</v>
      </c>
      <c r="E38" s="51"/>
      <c r="F38" s="52">
        <f t="shared" si="0"/>
        <v>0</v>
      </c>
      <c r="G38" s="24"/>
      <c r="H38" s="52" t="e">
        <f>G38*(HLOOKUP("Diesel",'Energy Conv Factors'!$A$6:$M$17,'General Info'!$E$7,FALSE))/1000</f>
        <v>#VALUE!</v>
      </c>
      <c r="I38" s="51"/>
      <c r="J38" s="52">
        <f t="shared" si="1"/>
        <v>0</v>
      </c>
      <c r="K38" s="24"/>
      <c r="L38" s="52" t="e">
        <f>K38*(HLOOKUP("Propane",'Energy Conv Factors'!$A$6:$M$17,'General Info'!$E$7,FALSE))/1000</f>
        <v>#VALUE!</v>
      </c>
      <c r="M38" s="51"/>
      <c r="N38" s="52">
        <f t="shared" si="2"/>
        <v>0</v>
      </c>
      <c r="O38" s="24"/>
      <c r="P38" s="52" t="e">
        <f>O38*(HLOOKUP("CNG",'Energy Conv Factors'!$A$6:$M$17,'General Info'!$E$7,FALSE))/1000</f>
        <v>#VALUE!</v>
      </c>
      <c r="Q38" s="51"/>
      <c r="R38" s="52">
        <f t="shared" si="3"/>
        <v>0</v>
      </c>
      <c r="S38" s="24"/>
      <c r="T38" s="52" t="e">
        <f>S38*(HLOOKUP("Ethanol Blend (10%)",'Energy Conv Factors'!$A$6:$M$17,'General Info'!$E$7,FALSE))/1000</f>
        <v>#VALUE!</v>
      </c>
      <c r="U38" s="51"/>
      <c r="V38" s="52">
        <f t="shared" si="4"/>
        <v>0</v>
      </c>
      <c r="W38" s="24"/>
      <c r="X38" s="52" t="e">
        <f>W38*(HLOOKUP("Biodiesel (B5)",'Energy Conv Factors'!$A$6:$M$17,'General Info'!$E$7,FALSE))/1000</f>
        <v>#VALUE!</v>
      </c>
      <c r="Y38" s="51"/>
      <c r="Z38" s="52">
        <f t="shared" si="5"/>
        <v>0</v>
      </c>
      <c r="AA38" s="24"/>
      <c r="AB38" s="52" t="e">
        <f>AA38*(HLOOKUP("Biodiesel (B10)",'Energy Conv Factors'!$A$6:$M$17,'General Info'!$E$7,FALSE))/1000</f>
        <v>#VALUE!</v>
      </c>
      <c r="AC38" s="51"/>
      <c r="AD38" s="52">
        <f t="shared" si="6"/>
        <v>0</v>
      </c>
      <c r="AE38" s="24"/>
      <c r="AF38" s="52" t="e">
        <f>AE38*(HLOOKUP("Biodiesel (B20)",'Energy Conv Factors'!$A$6:$M$17,'General Info'!$E$7,FALSE))/1000</f>
        <v>#VALUE!</v>
      </c>
      <c r="AG38" s="51"/>
      <c r="AH38" s="52">
        <f t="shared" si="7"/>
        <v>0</v>
      </c>
      <c r="AI38" s="53"/>
      <c r="AJ38" s="53"/>
      <c r="AK38" s="23">
        <f t="shared" si="8"/>
        <v>0</v>
      </c>
      <c r="AL38" s="25">
        <f t="shared" si="9"/>
        <v>0</v>
      </c>
      <c r="AM38" s="52" t="e">
        <f t="shared" si="10"/>
        <v>#VALUE!</v>
      </c>
      <c r="AN38" s="52">
        <f t="shared" si="11"/>
        <v>0</v>
      </c>
      <c r="AO38" s="26" t="e">
        <f t="shared" si="12"/>
        <v>#DIV/0!</v>
      </c>
      <c r="AP38" s="26" t="e">
        <f t="shared" si="13"/>
        <v>#DIV/0!</v>
      </c>
      <c r="AQ38" s="26" t="e">
        <f t="shared" si="16"/>
        <v>#DIV/0!</v>
      </c>
      <c r="AR38" s="26" t="e">
        <f t="shared" si="15"/>
        <v>#DIV/0!</v>
      </c>
      <c r="AS38" s="65"/>
      <c r="AT38" s="65"/>
      <c r="AU38" s="65"/>
      <c r="AV38" s="65"/>
      <c r="AW38" s="65"/>
      <c r="AX38" s="65"/>
      <c r="AY38" s="65"/>
      <c r="AZ38" s="65"/>
      <c r="BA38" s="65"/>
      <c r="BB38" s="65"/>
      <c r="BC38" s="65"/>
      <c r="BD38" s="65"/>
      <c r="BE38" s="65"/>
      <c r="BF38" s="65"/>
      <c r="BG38" s="65"/>
    </row>
    <row r="39" spans="1:59" s="27" customFormat="1" ht="11.25">
      <c r="A39" s="65"/>
      <c r="B39" s="23"/>
      <c r="C39" s="24"/>
      <c r="D39" s="52" t="e">
        <f>C39*(HLOOKUP("Gasoline",'Energy Conv Factors'!$A$6:$M$17,'General Info'!$E$7,FALSE))/1000</f>
        <v>#VALUE!</v>
      </c>
      <c r="E39" s="51"/>
      <c r="F39" s="52">
        <f t="shared" si="0"/>
        <v>0</v>
      </c>
      <c r="G39" s="24"/>
      <c r="H39" s="52" t="e">
        <f>G39*(HLOOKUP("Diesel",'Energy Conv Factors'!$A$6:$M$17,'General Info'!$E$7,FALSE))/1000</f>
        <v>#VALUE!</v>
      </c>
      <c r="I39" s="51"/>
      <c r="J39" s="52">
        <f t="shared" si="1"/>
        <v>0</v>
      </c>
      <c r="K39" s="24"/>
      <c r="L39" s="52" t="e">
        <f>K39*(HLOOKUP("Propane",'Energy Conv Factors'!$A$6:$M$17,'General Info'!$E$7,FALSE))/1000</f>
        <v>#VALUE!</v>
      </c>
      <c r="M39" s="51"/>
      <c r="N39" s="52">
        <f t="shared" si="2"/>
        <v>0</v>
      </c>
      <c r="O39" s="24"/>
      <c r="P39" s="52" t="e">
        <f>O39*(HLOOKUP("CNG",'Energy Conv Factors'!$A$6:$M$17,'General Info'!$E$7,FALSE))/1000</f>
        <v>#VALUE!</v>
      </c>
      <c r="Q39" s="51"/>
      <c r="R39" s="52">
        <f t="shared" si="3"/>
        <v>0</v>
      </c>
      <c r="S39" s="24"/>
      <c r="T39" s="52" t="e">
        <f>S39*(HLOOKUP("Ethanol Blend (10%)",'Energy Conv Factors'!$A$6:$M$17,'General Info'!$E$7,FALSE))/1000</f>
        <v>#VALUE!</v>
      </c>
      <c r="U39" s="51"/>
      <c r="V39" s="52">
        <f t="shared" si="4"/>
        <v>0</v>
      </c>
      <c r="W39" s="24"/>
      <c r="X39" s="52" t="e">
        <f>W39*(HLOOKUP("Biodiesel (B5)",'Energy Conv Factors'!$A$6:$M$17,'General Info'!$E$7,FALSE))/1000</f>
        <v>#VALUE!</v>
      </c>
      <c r="Y39" s="51"/>
      <c r="Z39" s="52">
        <f t="shared" si="5"/>
        <v>0</v>
      </c>
      <c r="AA39" s="24"/>
      <c r="AB39" s="52" t="e">
        <f>AA39*(HLOOKUP("Biodiesel (B10)",'Energy Conv Factors'!$A$6:$M$17,'General Info'!$E$7,FALSE))/1000</f>
        <v>#VALUE!</v>
      </c>
      <c r="AC39" s="51"/>
      <c r="AD39" s="52">
        <f t="shared" si="6"/>
        <v>0</v>
      </c>
      <c r="AE39" s="24"/>
      <c r="AF39" s="52" t="e">
        <f>AE39*(HLOOKUP("Biodiesel (B20)",'Energy Conv Factors'!$A$6:$M$17,'General Info'!$E$7,FALSE))/1000</f>
        <v>#VALUE!</v>
      </c>
      <c r="AG39" s="51"/>
      <c r="AH39" s="52">
        <f t="shared" si="7"/>
        <v>0</v>
      </c>
      <c r="AI39" s="53"/>
      <c r="AJ39" s="53"/>
      <c r="AK39" s="23">
        <f t="shared" si="8"/>
        <v>0</v>
      </c>
      <c r="AL39" s="25">
        <f t="shared" si="9"/>
        <v>0</v>
      </c>
      <c r="AM39" s="52" t="e">
        <f t="shared" si="10"/>
        <v>#VALUE!</v>
      </c>
      <c r="AN39" s="52">
        <f t="shared" si="11"/>
        <v>0</v>
      </c>
      <c r="AO39" s="26" t="e">
        <f t="shared" si="12"/>
        <v>#DIV/0!</v>
      </c>
      <c r="AP39" s="26" t="e">
        <f t="shared" si="13"/>
        <v>#DIV/0!</v>
      </c>
      <c r="AQ39" s="26" t="e">
        <f t="shared" si="16"/>
        <v>#DIV/0!</v>
      </c>
      <c r="AR39" s="26" t="e">
        <f t="shared" si="15"/>
        <v>#DIV/0!</v>
      </c>
      <c r="AS39" s="65"/>
      <c r="AT39" s="65"/>
      <c r="AU39" s="65"/>
      <c r="AV39" s="65"/>
      <c r="AW39" s="65"/>
      <c r="AX39" s="65"/>
      <c r="AY39" s="65"/>
      <c r="AZ39" s="65"/>
      <c r="BA39" s="65"/>
      <c r="BB39" s="65"/>
      <c r="BC39" s="65"/>
      <c r="BD39" s="65"/>
      <c r="BE39" s="65"/>
      <c r="BF39" s="65"/>
      <c r="BG39" s="65"/>
    </row>
    <row r="40" spans="1:59" s="27" customFormat="1" ht="11.25">
      <c r="A40" s="65"/>
      <c r="B40" s="23"/>
      <c r="C40" s="24"/>
      <c r="D40" s="52" t="e">
        <f>C40*(HLOOKUP("Gasoline",'Energy Conv Factors'!$A$6:$M$17,'General Info'!$E$7,FALSE))/1000</f>
        <v>#VALUE!</v>
      </c>
      <c r="E40" s="51"/>
      <c r="F40" s="52">
        <f t="shared" si="0"/>
        <v>0</v>
      </c>
      <c r="G40" s="24"/>
      <c r="H40" s="52" t="e">
        <f>G40*(HLOOKUP("Diesel",'Energy Conv Factors'!$A$6:$M$17,'General Info'!$E$7,FALSE))/1000</f>
        <v>#VALUE!</v>
      </c>
      <c r="I40" s="51"/>
      <c r="J40" s="52">
        <f t="shared" si="1"/>
        <v>0</v>
      </c>
      <c r="K40" s="24"/>
      <c r="L40" s="52" t="e">
        <f>K40*(HLOOKUP("Propane",'Energy Conv Factors'!$A$6:$M$17,'General Info'!$E$7,FALSE))/1000</f>
        <v>#VALUE!</v>
      </c>
      <c r="M40" s="51"/>
      <c r="N40" s="52">
        <f t="shared" si="2"/>
        <v>0</v>
      </c>
      <c r="O40" s="24"/>
      <c r="P40" s="52" t="e">
        <f>O40*(HLOOKUP("CNG",'Energy Conv Factors'!$A$6:$M$17,'General Info'!$E$7,FALSE))/1000</f>
        <v>#VALUE!</v>
      </c>
      <c r="Q40" s="51"/>
      <c r="R40" s="52">
        <f t="shared" si="3"/>
        <v>0</v>
      </c>
      <c r="S40" s="24"/>
      <c r="T40" s="52" t="e">
        <f>S40*(HLOOKUP("Ethanol Blend (10%)",'Energy Conv Factors'!$A$6:$M$17,'General Info'!$E$7,FALSE))/1000</f>
        <v>#VALUE!</v>
      </c>
      <c r="U40" s="51"/>
      <c r="V40" s="52">
        <f t="shared" si="4"/>
        <v>0</v>
      </c>
      <c r="W40" s="24"/>
      <c r="X40" s="52" t="e">
        <f>W40*(HLOOKUP("Biodiesel (B5)",'Energy Conv Factors'!$A$6:$M$17,'General Info'!$E$7,FALSE))/1000</f>
        <v>#VALUE!</v>
      </c>
      <c r="Y40" s="51"/>
      <c r="Z40" s="52">
        <f t="shared" si="5"/>
        <v>0</v>
      </c>
      <c r="AA40" s="24"/>
      <c r="AB40" s="52" t="e">
        <f>AA40*(HLOOKUP("Biodiesel (B10)",'Energy Conv Factors'!$A$6:$M$17,'General Info'!$E$7,FALSE))/1000</f>
        <v>#VALUE!</v>
      </c>
      <c r="AC40" s="51"/>
      <c r="AD40" s="52">
        <f t="shared" si="6"/>
        <v>0</v>
      </c>
      <c r="AE40" s="24"/>
      <c r="AF40" s="52" t="e">
        <f>AE40*(HLOOKUP("Biodiesel (B20)",'Energy Conv Factors'!$A$6:$M$17,'General Info'!$E$7,FALSE))/1000</f>
        <v>#VALUE!</v>
      </c>
      <c r="AG40" s="51"/>
      <c r="AH40" s="52">
        <f t="shared" si="7"/>
        <v>0</v>
      </c>
      <c r="AI40" s="53"/>
      <c r="AJ40" s="53"/>
      <c r="AK40" s="23">
        <f t="shared" si="8"/>
        <v>0</v>
      </c>
      <c r="AL40" s="25">
        <f t="shared" si="9"/>
        <v>0</v>
      </c>
      <c r="AM40" s="52" t="e">
        <f t="shared" si="10"/>
        <v>#VALUE!</v>
      </c>
      <c r="AN40" s="52">
        <f t="shared" si="11"/>
        <v>0</v>
      </c>
      <c r="AO40" s="26" t="e">
        <f t="shared" si="12"/>
        <v>#DIV/0!</v>
      </c>
      <c r="AP40" s="26" t="e">
        <f t="shared" si="13"/>
        <v>#DIV/0!</v>
      </c>
      <c r="AQ40" s="26" t="e">
        <f t="shared" si="16"/>
        <v>#DIV/0!</v>
      </c>
      <c r="AR40" s="26" t="e">
        <f t="shared" si="15"/>
        <v>#DIV/0!</v>
      </c>
      <c r="AS40" s="65"/>
      <c r="AT40" s="65"/>
      <c r="AU40" s="65"/>
      <c r="AV40" s="65"/>
      <c r="AW40" s="65"/>
      <c r="AX40" s="65"/>
      <c r="AY40" s="65"/>
      <c r="AZ40" s="65"/>
      <c r="BA40" s="65"/>
      <c r="BB40" s="65"/>
      <c r="BC40" s="65"/>
      <c r="BD40" s="65"/>
      <c r="BE40" s="65"/>
      <c r="BF40" s="65"/>
      <c r="BG40" s="65"/>
    </row>
    <row r="41" spans="1:59" s="27" customFormat="1" ht="11.25">
      <c r="A41" s="65"/>
      <c r="B41" s="23"/>
      <c r="C41" s="24"/>
      <c r="D41" s="52" t="e">
        <f>C41*(HLOOKUP("Gasoline",'Energy Conv Factors'!$A$6:$M$17,'General Info'!$E$7,FALSE))/1000</f>
        <v>#VALUE!</v>
      </c>
      <c r="E41" s="51"/>
      <c r="F41" s="52">
        <f t="shared" si="0"/>
        <v>0</v>
      </c>
      <c r="G41" s="24"/>
      <c r="H41" s="52" t="e">
        <f>G41*(HLOOKUP("Diesel",'Energy Conv Factors'!$A$6:$M$17,'General Info'!$E$7,FALSE))/1000</f>
        <v>#VALUE!</v>
      </c>
      <c r="I41" s="51"/>
      <c r="J41" s="52">
        <f t="shared" si="1"/>
        <v>0</v>
      </c>
      <c r="K41" s="24"/>
      <c r="L41" s="52" t="e">
        <f>K41*(HLOOKUP("Propane",'Energy Conv Factors'!$A$6:$M$17,'General Info'!$E$7,FALSE))/1000</f>
        <v>#VALUE!</v>
      </c>
      <c r="M41" s="51"/>
      <c r="N41" s="52">
        <f t="shared" si="2"/>
        <v>0</v>
      </c>
      <c r="O41" s="24"/>
      <c r="P41" s="52" t="e">
        <f>O41*(HLOOKUP("CNG",'Energy Conv Factors'!$A$6:$M$17,'General Info'!$E$7,FALSE))/1000</f>
        <v>#VALUE!</v>
      </c>
      <c r="Q41" s="51"/>
      <c r="R41" s="52">
        <f t="shared" si="3"/>
        <v>0</v>
      </c>
      <c r="S41" s="24"/>
      <c r="T41" s="52" t="e">
        <f>S41*(HLOOKUP("Ethanol Blend (10%)",'Energy Conv Factors'!$A$6:$M$17,'General Info'!$E$7,FALSE))/1000</f>
        <v>#VALUE!</v>
      </c>
      <c r="U41" s="51"/>
      <c r="V41" s="52">
        <f t="shared" si="4"/>
        <v>0</v>
      </c>
      <c r="W41" s="24"/>
      <c r="X41" s="52" t="e">
        <f>W41*(HLOOKUP("Biodiesel (B5)",'Energy Conv Factors'!$A$6:$M$17,'General Info'!$E$7,FALSE))/1000</f>
        <v>#VALUE!</v>
      </c>
      <c r="Y41" s="51"/>
      <c r="Z41" s="52">
        <f t="shared" si="5"/>
        <v>0</v>
      </c>
      <c r="AA41" s="24"/>
      <c r="AB41" s="52" t="e">
        <f>AA41*(HLOOKUP("Biodiesel (B10)",'Energy Conv Factors'!$A$6:$M$17,'General Info'!$E$7,FALSE))/1000</f>
        <v>#VALUE!</v>
      </c>
      <c r="AC41" s="51"/>
      <c r="AD41" s="52">
        <f t="shared" si="6"/>
        <v>0</v>
      </c>
      <c r="AE41" s="24"/>
      <c r="AF41" s="52" t="e">
        <f>AE41*(HLOOKUP("Biodiesel (B20)",'Energy Conv Factors'!$A$6:$M$17,'General Info'!$E$7,FALSE))/1000</f>
        <v>#VALUE!</v>
      </c>
      <c r="AG41" s="51"/>
      <c r="AH41" s="52">
        <f t="shared" si="7"/>
        <v>0</v>
      </c>
      <c r="AI41" s="53"/>
      <c r="AJ41" s="53"/>
      <c r="AK41" s="23">
        <f t="shared" si="8"/>
        <v>0</v>
      </c>
      <c r="AL41" s="25">
        <f t="shared" si="9"/>
        <v>0</v>
      </c>
      <c r="AM41" s="52" t="e">
        <f t="shared" si="10"/>
        <v>#VALUE!</v>
      </c>
      <c r="AN41" s="52">
        <f t="shared" si="11"/>
        <v>0</v>
      </c>
      <c r="AO41" s="26" t="e">
        <f t="shared" si="12"/>
        <v>#DIV/0!</v>
      </c>
      <c r="AP41" s="26" t="e">
        <f t="shared" si="13"/>
        <v>#DIV/0!</v>
      </c>
      <c r="AQ41" s="26" t="e">
        <f t="shared" si="16"/>
        <v>#DIV/0!</v>
      </c>
      <c r="AR41" s="26" t="e">
        <f t="shared" si="15"/>
        <v>#DIV/0!</v>
      </c>
      <c r="AS41" s="65"/>
      <c r="AT41" s="65"/>
      <c r="AU41" s="65"/>
      <c r="AV41" s="65"/>
      <c r="AW41" s="65"/>
      <c r="AX41" s="65"/>
      <c r="AY41" s="65"/>
      <c r="AZ41" s="65"/>
      <c r="BA41" s="65"/>
      <c r="BB41" s="65"/>
      <c r="BC41" s="65"/>
      <c r="BD41" s="65"/>
      <c r="BE41" s="65"/>
      <c r="BF41" s="65"/>
      <c r="BG41" s="65"/>
    </row>
    <row r="42" spans="1:59" s="27" customFormat="1" ht="11.25">
      <c r="A42" s="65"/>
      <c r="B42" s="23"/>
      <c r="C42" s="24"/>
      <c r="D42" s="52" t="e">
        <f>C42*(HLOOKUP("Gasoline",'Energy Conv Factors'!$A$6:$M$17,'General Info'!$E$7,FALSE))/1000</f>
        <v>#VALUE!</v>
      </c>
      <c r="E42" s="51"/>
      <c r="F42" s="52">
        <f t="shared" si="0"/>
        <v>0</v>
      </c>
      <c r="G42" s="24"/>
      <c r="H42" s="52" t="e">
        <f>G42*(HLOOKUP("Diesel",'Energy Conv Factors'!$A$6:$M$17,'General Info'!$E$7,FALSE))/1000</f>
        <v>#VALUE!</v>
      </c>
      <c r="I42" s="51"/>
      <c r="J42" s="52">
        <f t="shared" si="1"/>
        <v>0</v>
      </c>
      <c r="K42" s="24"/>
      <c r="L42" s="52" t="e">
        <f>K42*(HLOOKUP("Propane",'Energy Conv Factors'!$A$6:$M$17,'General Info'!$E$7,FALSE))/1000</f>
        <v>#VALUE!</v>
      </c>
      <c r="M42" s="51"/>
      <c r="N42" s="52">
        <f t="shared" si="2"/>
        <v>0</v>
      </c>
      <c r="O42" s="24"/>
      <c r="P42" s="52" t="e">
        <f>O42*(HLOOKUP("CNG",'Energy Conv Factors'!$A$6:$M$17,'General Info'!$E$7,FALSE))/1000</f>
        <v>#VALUE!</v>
      </c>
      <c r="Q42" s="51"/>
      <c r="R42" s="52">
        <f t="shared" si="3"/>
        <v>0</v>
      </c>
      <c r="S42" s="24"/>
      <c r="T42" s="52" t="e">
        <f>S42*(HLOOKUP("Ethanol Blend (10%)",'Energy Conv Factors'!$A$6:$M$17,'General Info'!$E$7,FALSE))/1000</f>
        <v>#VALUE!</v>
      </c>
      <c r="U42" s="51"/>
      <c r="V42" s="52">
        <f t="shared" si="4"/>
        <v>0</v>
      </c>
      <c r="W42" s="24"/>
      <c r="X42" s="52" t="e">
        <f>W42*(HLOOKUP("Biodiesel (B5)",'Energy Conv Factors'!$A$6:$M$17,'General Info'!$E$7,FALSE))/1000</f>
        <v>#VALUE!</v>
      </c>
      <c r="Y42" s="51"/>
      <c r="Z42" s="52">
        <f t="shared" si="5"/>
        <v>0</v>
      </c>
      <c r="AA42" s="24"/>
      <c r="AB42" s="52" t="e">
        <f>AA42*(HLOOKUP("Biodiesel (B10)",'Energy Conv Factors'!$A$6:$M$17,'General Info'!$E$7,FALSE))/1000</f>
        <v>#VALUE!</v>
      </c>
      <c r="AC42" s="51"/>
      <c r="AD42" s="52">
        <f t="shared" si="6"/>
        <v>0</v>
      </c>
      <c r="AE42" s="24"/>
      <c r="AF42" s="52" t="e">
        <f>AE42*(HLOOKUP("Biodiesel (B20)",'Energy Conv Factors'!$A$6:$M$17,'General Info'!$E$7,FALSE))/1000</f>
        <v>#VALUE!</v>
      </c>
      <c r="AG42" s="51"/>
      <c r="AH42" s="52">
        <f t="shared" si="7"/>
        <v>0</v>
      </c>
      <c r="AI42" s="53"/>
      <c r="AJ42" s="53"/>
      <c r="AK42" s="23">
        <f t="shared" si="8"/>
        <v>0</v>
      </c>
      <c r="AL42" s="25">
        <f t="shared" si="9"/>
        <v>0</v>
      </c>
      <c r="AM42" s="52" t="e">
        <f t="shared" si="10"/>
        <v>#VALUE!</v>
      </c>
      <c r="AN42" s="52">
        <f t="shared" si="11"/>
        <v>0</v>
      </c>
      <c r="AO42" s="26" t="e">
        <f t="shared" si="12"/>
        <v>#DIV/0!</v>
      </c>
      <c r="AP42" s="26" t="e">
        <f t="shared" si="13"/>
        <v>#DIV/0!</v>
      </c>
      <c r="AQ42" s="26" t="e">
        <f t="shared" si="16"/>
        <v>#DIV/0!</v>
      </c>
      <c r="AR42" s="26" t="e">
        <f t="shared" si="15"/>
        <v>#DIV/0!</v>
      </c>
      <c r="AS42" s="65"/>
      <c r="AT42" s="65"/>
      <c r="AU42" s="65"/>
      <c r="AV42" s="65"/>
      <c r="AW42" s="65"/>
      <c r="AX42" s="65"/>
      <c r="AY42" s="65"/>
      <c r="AZ42" s="65"/>
      <c r="BA42" s="65"/>
      <c r="BB42" s="65"/>
      <c r="BC42" s="65"/>
      <c r="BD42" s="65"/>
      <c r="BE42" s="65"/>
      <c r="BF42" s="65"/>
      <c r="BG42" s="65"/>
    </row>
    <row r="43" spans="1:59" s="27" customFormat="1" ht="11.25">
      <c r="A43" s="65"/>
      <c r="B43" s="23"/>
      <c r="C43" s="24"/>
      <c r="D43" s="52" t="e">
        <f>C43*(HLOOKUP("Gasoline",'Energy Conv Factors'!$A$6:$M$17,'General Info'!$E$7,FALSE))/1000</f>
        <v>#VALUE!</v>
      </c>
      <c r="E43" s="51"/>
      <c r="F43" s="52">
        <f t="shared" si="0"/>
        <v>0</v>
      </c>
      <c r="G43" s="24"/>
      <c r="H43" s="52" t="e">
        <f>G43*(HLOOKUP("Diesel",'Energy Conv Factors'!$A$6:$M$17,'General Info'!$E$7,FALSE))/1000</f>
        <v>#VALUE!</v>
      </c>
      <c r="I43" s="51"/>
      <c r="J43" s="52">
        <f t="shared" si="1"/>
        <v>0</v>
      </c>
      <c r="K43" s="24"/>
      <c r="L43" s="52" t="e">
        <f>K43*(HLOOKUP("Propane",'Energy Conv Factors'!$A$6:$M$17,'General Info'!$E$7,FALSE))/1000</f>
        <v>#VALUE!</v>
      </c>
      <c r="M43" s="51"/>
      <c r="N43" s="52">
        <f t="shared" si="2"/>
        <v>0</v>
      </c>
      <c r="O43" s="24"/>
      <c r="P43" s="52" t="e">
        <f>O43*(HLOOKUP("CNG",'Energy Conv Factors'!$A$6:$M$17,'General Info'!$E$7,FALSE))/1000</f>
        <v>#VALUE!</v>
      </c>
      <c r="Q43" s="51"/>
      <c r="R43" s="52">
        <f t="shared" si="3"/>
        <v>0</v>
      </c>
      <c r="S43" s="24"/>
      <c r="T43" s="52" t="e">
        <f>S43*(HLOOKUP("Ethanol Blend (10%)",'Energy Conv Factors'!$A$6:$M$17,'General Info'!$E$7,FALSE))/1000</f>
        <v>#VALUE!</v>
      </c>
      <c r="U43" s="51"/>
      <c r="V43" s="52">
        <f t="shared" si="4"/>
        <v>0</v>
      </c>
      <c r="W43" s="24"/>
      <c r="X43" s="52" t="e">
        <f>W43*(HLOOKUP("Biodiesel (B5)",'Energy Conv Factors'!$A$6:$M$17,'General Info'!$E$7,FALSE))/1000</f>
        <v>#VALUE!</v>
      </c>
      <c r="Y43" s="51"/>
      <c r="Z43" s="52">
        <f t="shared" si="5"/>
        <v>0</v>
      </c>
      <c r="AA43" s="24"/>
      <c r="AB43" s="52" t="e">
        <f>AA43*(HLOOKUP("Biodiesel (B10)",'Energy Conv Factors'!$A$6:$M$17,'General Info'!$E$7,FALSE))/1000</f>
        <v>#VALUE!</v>
      </c>
      <c r="AC43" s="51"/>
      <c r="AD43" s="52">
        <f t="shared" si="6"/>
        <v>0</v>
      </c>
      <c r="AE43" s="24"/>
      <c r="AF43" s="52" t="e">
        <f>AE43*(HLOOKUP("Biodiesel (B20)",'Energy Conv Factors'!$A$6:$M$17,'General Info'!$E$7,FALSE))/1000</f>
        <v>#VALUE!</v>
      </c>
      <c r="AG43" s="51"/>
      <c r="AH43" s="52">
        <f t="shared" si="7"/>
        <v>0</v>
      </c>
      <c r="AI43" s="53"/>
      <c r="AJ43" s="53"/>
      <c r="AK43" s="23">
        <f t="shared" si="8"/>
        <v>0</v>
      </c>
      <c r="AL43" s="25">
        <f t="shared" si="9"/>
        <v>0</v>
      </c>
      <c r="AM43" s="52" t="e">
        <f t="shared" si="10"/>
        <v>#VALUE!</v>
      </c>
      <c r="AN43" s="52">
        <f t="shared" si="11"/>
        <v>0</v>
      </c>
      <c r="AO43" s="26" t="e">
        <f t="shared" si="12"/>
        <v>#DIV/0!</v>
      </c>
      <c r="AP43" s="26" t="e">
        <f t="shared" si="13"/>
        <v>#DIV/0!</v>
      </c>
      <c r="AQ43" s="26" t="e">
        <f t="shared" si="16"/>
        <v>#DIV/0!</v>
      </c>
      <c r="AR43" s="26" t="e">
        <f t="shared" si="15"/>
        <v>#DIV/0!</v>
      </c>
      <c r="AS43" s="65"/>
      <c r="AT43" s="65"/>
      <c r="AU43" s="65"/>
      <c r="AV43" s="65"/>
      <c r="AW43" s="65"/>
      <c r="AX43" s="65"/>
      <c r="AY43" s="65"/>
      <c r="AZ43" s="65"/>
      <c r="BA43" s="65"/>
      <c r="BB43" s="65"/>
      <c r="BC43" s="65"/>
      <c r="BD43" s="65"/>
      <c r="BE43" s="65"/>
      <c r="BF43" s="65"/>
      <c r="BG43" s="65"/>
    </row>
    <row r="44" spans="1:59" s="27" customFormat="1" ht="11.25">
      <c r="A44" s="65"/>
      <c r="B44" s="23"/>
      <c r="C44" s="24"/>
      <c r="D44" s="52" t="e">
        <f>C44*(HLOOKUP("Gasoline",'Energy Conv Factors'!$A$6:$M$17,'General Info'!$E$7,FALSE))/1000</f>
        <v>#VALUE!</v>
      </c>
      <c r="E44" s="51"/>
      <c r="F44" s="52">
        <f t="shared" si="0"/>
        <v>0</v>
      </c>
      <c r="G44" s="24"/>
      <c r="H44" s="52" t="e">
        <f>G44*(HLOOKUP("Diesel",'Energy Conv Factors'!$A$6:$M$17,'General Info'!$E$7,FALSE))/1000</f>
        <v>#VALUE!</v>
      </c>
      <c r="I44" s="51"/>
      <c r="J44" s="52">
        <f t="shared" si="1"/>
        <v>0</v>
      </c>
      <c r="K44" s="24"/>
      <c r="L44" s="52" t="e">
        <f>K44*(HLOOKUP("Propane",'Energy Conv Factors'!$A$6:$M$17,'General Info'!$E$7,FALSE))/1000</f>
        <v>#VALUE!</v>
      </c>
      <c r="M44" s="51"/>
      <c r="N44" s="52">
        <f t="shared" si="2"/>
        <v>0</v>
      </c>
      <c r="O44" s="24"/>
      <c r="P44" s="52" t="e">
        <f>O44*(HLOOKUP("CNG",'Energy Conv Factors'!$A$6:$M$17,'General Info'!$E$7,FALSE))/1000</f>
        <v>#VALUE!</v>
      </c>
      <c r="Q44" s="51"/>
      <c r="R44" s="52">
        <f t="shared" si="3"/>
        <v>0</v>
      </c>
      <c r="S44" s="24"/>
      <c r="T44" s="52" t="e">
        <f>S44*(HLOOKUP("Ethanol Blend (10%)",'Energy Conv Factors'!$A$6:$M$17,'General Info'!$E$7,FALSE))/1000</f>
        <v>#VALUE!</v>
      </c>
      <c r="U44" s="51"/>
      <c r="V44" s="52">
        <f t="shared" si="4"/>
        <v>0</v>
      </c>
      <c r="W44" s="24"/>
      <c r="X44" s="52" t="e">
        <f>W44*(HLOOKUP("Biodiesel (B5)",'Energy Conv Factors'!$A$6:$M$17,'General Info'!$E$7,FALSE))/1000</f>
        <v>#VALUE!</v>
      </c>
      <c r="Y44" s="51"/>
      <c r="Z44" s="52">
        <f t="shared" si="5"/>
        <v>0</v>
      </c>
      <c r="AA44" s="24"/>
      <c r="AB44" s="52" t="e">
        <f>AA44*(HLOOKUP("Biodiesel (B10)",'Energy Conv Factors'!$A$6:$M$17,'General Info'!$E$7,FALSE))/1000</f>
        <v>#VALUE!</v>
      </c>
      <c r="AC44" s="51"/>
      <c r="AD44" s="52">
        <f t="shared" si="6"/>
        <v>0</v>
      </c>
      <c r="AE44" s="24"/>
      <c r="AF44" s="52" t="e">
        <f>AE44*(HLOOKUP("Biodiesel (B20)",'Energy Conv Factors'!$A$6:$M$17,'General Info'!$E$7,FALSE))/1000</f>
        <v>#VALUE!</v>
      </c>
      <c r="AG44" s="51"/>
      <c r="AH44" s="52">
        <f t="shared" si="7"/>
        <v>0</v>
      </c>
      <c r="AI44" s="53"/>
      <c r="AJ44" s="53"/>
      <c r="AK44" s="23">
        <f t="shared" si="8"/>
        <v>0</v>
      </c>
      <c r="AL44" s="25">
        <f t="shared" si="9"/>
        <v>0</v>
      </c>
      <c r="AM44" s="52" t="e">
        <f t="shared" si="10"/>
        <v>#VALUE!</v>
      </c>
      <c r="AN44" s="52">
        <f t="shared" si="11"/>
        <v>0</v>
      </c>
      <c r="AO44" s="26" t="e">
        <f t="shared" si="12"/>
        <v>#DIV/0!</v>
      </c>
      <c r="AP44" s="26" t="e">
        <f t="shared" si="13"/>
        <v>#DIV/0!</v>
      </c>
      <c r="AQ44" s="26" t="e">
        <f t="shared" si="16"/>
        <v>#DIV/0!</v>
      </c>
      <c r="AR44" s="26" t="e">
        <f t="shared" si="15"/>
        <v>#DIV/0!</v>
      </c>
      <c r="AS44" s="65"/>
      <c r="AT44" s="65"/>
      <c r="AU44" s="65"/>
      <c r="AV44" s="65"/>
      <c r="AW44" s="65"/>
      <c r="AX44" s="65"/>
      <c r="AY44" s="65"/>
      <c r="AZ44" s="65"/>
      <c r="BA44" s="65"/>
      <c r="BB44" s="65"/>
      <c r="BC44" s="65"/>
      <c r="BD44" s="65"/>
      <c r="BE44" s="65"/>
      <c r="BF44" s="65"/>
      <c r="BG44" s="65"/>
    </row>
    <row r="45" spans="1:59" s="27" customFormat="1" ht="11.25">
      <c r="A45" s="65"/>
      <c r="B45" s="23"/>
      <c r="C45" s="24"/>
      <c r="D45" s="52" t="e">
        <f>C45*(HLOOKUP("Gasoline",'Energy Conv Factors'!$A$6:$M$17,'General Info'!$E$7,FALSE))/1000</f>
        <v>#VALUE!</v>
      </c>
      <c r="E45" s="51"/>
      <c r="F45" s="52">
        <f t="shared" si="0"/>
        <v>0</v>
      </c>
      <c r="G45" s="24"/>
      <c r="H45" s="52" t="e">
        <f>G45*(HLOOKUP("Diesel",'Energy Conv Factors'!$A$6:$M$17,'General Info'!$E$7,FALSE))/1000</f>
        <v>#VALUE!</v>
      </c>
      <c r="I45" s="51"/>
      <c r="J45" s="52">
        <f t="shared" si="1"/>
        <v>0</v>
      </c>
      <c r="K45" s="24"/>
      <c r="L45" s="52" t="e">
        <f>K45*(HLOOKUP("Propane",'Energy Conv Factors'!$A$6:$M$17,'General Info'!$E$7,FALSE))/1000</f>
        <v>#VALUE!</v>
      </c>
      <c r="M45" s="51"/>
      <c r="N45" s="52">
        <f t="shared" si="2"/>
        <v>0</v>
      </c>
      <c r="O45" s="24"/>
      <c r="P45" s="52" t="e">
        <f>O45*(HLOOKUP("CNG",'Energy Conv Factors'!$A$6:$M$17,'General Info'!$E$7,FALSE))/1000</f>
        <v>#VALUE!</v>
      </c>
      <c r="Q45" s="51"/>
      <c r="R45" s="52">
        <f t="shared" si="3"/>
        <v>0</v>
      </c>
      <c r="S45" s="24"/>
      <c r="T45" s="52" t="e">
        <f>S45*(HLOOKUP("Ethanol Blend (10%)",'Energy Conv Factors'!$A$6:$M$17,'General Info'!$E$7,FALSE))/1000</f>
        <v>#VALUE!</v>
      </c>
      <c r="U45" s="51"/>
      <c r="V45" s="52">
        <f t="shared" si="4"/>
        <v>0</v>
      </c>
      <c r="W45" s="24"/>
      <c r="X45" s="52" t="e">
        <f>W45*(HLOOKUP("Biodiesel (B5)",'Energy Conv Factors'!$A$6:$M$17,'General Info'!$E$7,FALSE))/1000</f>
        <v>#VALUE!</v>
      </c>
      <c r="Y45" s="51"/>
      <c r="Z45" s="52">
        <f t="shared" si="5"/>
        <v>0</v>
      </c>
      <c r="AA45" s="24"/>
      <c r="AB45" s="52" t="e">
        <f>AA45*(HLOOKUP("Biodiesel (B10)",'Energy Conv Factors'!$A$6:$M$17,'General Info'!$E$7,FALSE))/1000</f>
        <v>#VALUE!</v>
      </c>
      <c r="AC45" s="51"/>
      <c r="AD45" s="52">
        <f t="shared" si="6"/>
        <v>0</v>
      </c>
      <c r="AE45" s="24"/>
      <c r="AF45" s="52" t="e">
        <f>AE45*(HLOOKUP("Biodiesel (B20)",'Energy Conv Factors'!$A$6:$M$17,'General Info'!$E$7,FALSE))/1000</f>
        <v>#VALUE!</v>
      </c>
      <c r="AG45" s="51"/>
      <c r="AH45" s="52">
        <f t="shared" si="7"/>
        <v>0</v>
      </c>
      <c r="AI45" s="53"/>
      <c r="AJ45" s="53"/>
      <c r="AK45" s="23">
        <f t="shared" si="8"/>
        <v>0</v>
      </c>
      <c r="AL45" s="25">
        <f t="shared" si="9"/>
        <v>0</v>
      </c>
      <c r="AM45" s="52" t="e">
        <f t="shared" si="10"/>
        <v>#VALUE!</v>
      </c>
      <c r="AN45" s="52">
        <f t="shared" si="11"/>
        <v>0</v>
      </c>
      <c r="AO45" s="26" t="e">
        <f t="shared" si="12"/>
        <v>#DIV/0!</v>
      </c>
      <c r="AP45" s="26" t="e">
        <f t="shared" si="13"/>
        <v>#DIV/0!</v>
      </c>
      <c r="AQ45" s="26" t="e">
        <f t="shared" si="16"/>
        <v>#DIV/0!</v>
      </c>
      <c r="AR45" s="26" t="e">
        <f t="shared" si="15"/>
        <v>#DIV/0!</v>
      </c>
      <c r="AS45" s="65"/>
      <c r="AT45" s="65"/>
      <c r="AU45" s="65"/>
      <c r="AV45" s="65"/>
      <c r="AW45" s="65"/>
      <c r="AX45" s="65"/>
      <c r="AY45" s="65"/>
      <c r="AZ45" s="65"/>
      <c r="BA45" s="65"/>
      <c r="BB45" s="65"/>
      <c r="BC45" s="65"/>
      <c r="BD45" s="65"/>
      <c r="BE45" s="65"/>
      <c r="BF45" s="65"/>
      <c r="BG45" s="65"/>
    </row>
    <row r="46" spans="1:59" s="27" customFormat="1" ht="11.25">
      <c r="A46" s="65"/>
      <c r="B46" s="23"/>
      <c r="C46" s="24"/>
      <c r="D46" s="52" t="e">
        <f>C46*(HLOOKUP("Gasoline",'Energy Conv Factors'!$A$6:$M$17,'General Info'!$E$7,FALSE))/1000</f>
        <v>#VALUE!</v>
      </c>
      <c r="E46" s="51"/>
      <c r="F46" s="52">
        <f t="shared" si="0"/>
        <v>0</v>
      </c>
      <c r="G46" s="24"/>
      <c r="H46" s="52" t="e">
        <f>G46*(HLOOKUP("Diesel",'Energy Conv Factors'!$A$6:$M$17,'General Info'!$E$7,FALSE))/1000</f>
        <v>#VALUE!</v>
      </c>
      <c r="I46" s="51"/>
      <c r="J46" s="52">
        <f t="shared" si="1"/>
        <v>0</v>
      </c>
      <c r="K46" s="24"/>
      <c r="L46" s="52" t="e">
        <f>K46*(HLOOKUP("Propane",'Energy Conv Factors'!$A$6:$M$17,'General Info'!$E$7,FALSE))/1000</f>
        <v>#VALUE!</v>
      </c>
      <c r="M46" s="51"/>
      <c r="N46" s="52">
        <f t="shared" si="2"/>
        <v>0</v>
      </c>
      <c r="O46" s="24"/>
      <c r="P46" s="52" t="e">
        <f>O46*(HLOOKUP("CNG",'Energy Conv Factors'!$A$6:$M$17,'General Info'!$E$7,FALSE))/1000</f>
        <v>#VALUE!</v>
      </c>
      <c r="Q46" s="51"/>
      <c r="R46" s="52">
        <f t="shared" si="3"/>
        <v>0</v>
      </c>
      <c r="S46" s="24"/>
      <c r="T46" s="52" t="e">
        <f>S46*(HLOOKUP("Ethanol Blend (10%)",'Energy Conv Factors'!$A$6:$M$17,'General Info'!$E$7,FALSE))/1000</f>
        <v>#VALUE!</v>
      </c>
      <c r="U46" s="51"/>
      <c r="V46" s="52">
        <f t="shared" si="4"/>
        <v>0</v>
      </c>
      <c r="W46" s="24"/>
      <c r="X46" s="52" t="e">
        <f>W46*(HLOOKUP("Biodiesel (B5)",'Energy Conv Factors'!$A$6:$M$17,'General Info'!$E$7,FALSE))/1000</f>
        <v>#VALUE!</v>
      </c>
      <c r="Y46" s="51"/>
      <c r="Z46" s="52">
        <f t="shared" si="5"/>
        <v>0</v>
      </c>
      <c r="AA46" s="24"/>
      <c r="AB46" s="52" t="e">
        <f>AA46*(HLOOKUP("Biodiesel (B10)",'Energy Conv Factors'!$A$6:$M$17,'General Info'!$E$7,FALSE))/1000</f>
        <v>#VALUE!</v>
      </c>
      <c r="AC46" s="51"/>
      <c r="AD46" s="52">
        <f t="shared" si="6"/>
        <v>0</v>
      </c>
      <c r="AE46" s="24"/>
      <c r="AF46" s="52" t="e">
        <f>AE46*(HLOOKUP("Biodiesel (B20)",'Energy Conv Factors'!$A$6:$M$17,'General Info'!$E$7,FALSE))/1000</f>
        <v>#VALUE!</v>
      </c>
      <c r="AG46" s="51"/>
      <c r="AH46" s="52">
        <f t="shared" si="7"/>
        <v>0</v>
      </c>
      <c r="AI46" s="53"/>
      <c r="AJ46" s="53"/>
      <c r="AK46" s="23">
        <f t="shared" si="8"/>
        <v>0</v>
      </c>
      <c r="AL46" s="25">
        <f t="shared" si="9"/>
        <v>0</v>
      </c>
      <c r="AM46" s="52" t="e">
        <f t="shared" si="10"/>
        <v>#VALUE!</v>
      </c>
      <c r="AN46" s="52">
        <f t="shared" si="11"/>
        <v>0</v>
      </c>
      <c r="AO46" s="26" t="e">
        <f t="shared" si="12"/>
        <v>#DIV/0!</v>
      </c>
      <c r="AP46" s="26" t="e">
        <f t="shared" si="13"/>
        <v>#DIV/0!</v>
      </c>
      <c r="AQ46" s="26" t="e">
        <f t="shared" si="16"/>
        <v>#DIV/0!</v>
      </c>
      <c r="AR46" s="26" t="e">
        <f t="shared" si="15"/>
        <v>#DIV/0!</v>
      </c>
      <c r="AS46" s="65"/>
      <c r="AT46" s="65"/>
      <c r="AU46" s="65"/>
      <c r="AV46" s="65"/>
      <c r="AW46" s="65"/>
      <c r="AX46" s="65"/>
      <c r="AY46" s="65"/>
      <c r="AZ46" s="65"/>
      <c r="BA46" s="65"/>
      <c r="BB46" s="65"/>
      <c r="BC46" s="65"/>
      <c r="BD46" s="65"/>
      <c r="BE46" s="65"/>
      <c r="BF46" s="65"/>
      <c r="BG46" s="65"/>
    </row>
    <row r="47" spans="1:59" s="27" customFormat="1" ht="11.25">
      <c r="A47" s="65"/>
      <c r="B47" s="23"/>
      <c r="C47" s="24"/>
      <c r="D47" s="52" t="e">
        <f>C47*(HLOOKUP("Gasoline",'Energy Conv Factors'!$A$6:$M$17,'General Info'!$E$7,FALSE))/1000</f>
        <v>#VALUE!</v>
      </c>
      <c r="E47" s="51"/>
      <c r="F47" s="52">
        <f t="shared" si="0"/>
        <v>0</v>
      </c>
      <c r="G47" s="24"/>
      <c r="H47" s="52" t="e">
        <f>G47*(HLOOKUP("Diesel",'Energy Conv Factors'!$A$6:$M$17,'General Info'!$E$7,FALSE))/1000</f>
        <v>#VALUE!</v>
      </c>
      <c r="I47" s="51"/>
      <c r="J47" s="52">
        <f t="shared" si="1"/>
        <v>0</v>
      </c>
      <c r="K47" s="24"/>
      <c r="L47" s="52" t="e">
        <f>K47*(HLOOKUP("Propane",'Energy Conv Factors'!$A$6:$M$17,'General Info'!$E$7,FALSE))/1000</f>
        <v>#VALUE!</v>
      </c>
      <c r="M47" s="51"/>
      <c r="N47" s="52">
        <f t="shared" si="2"/>
        <v>0</v>
      </c>
      <c r="O47" s="24"/>
      <c r="P47" s="52" t="e">
        <f>O47*(HLOOKUP("CNG",'Energy Conv Factors'!$A$6:$M$17,'General Info'!$E$7,FALSE))/1000</f>
        <v>#VALUE!</v>
      </c>
      <c r="Q47" s="51"/>
      <c r="R47" s="52">
        <f t="shared" si="3"/>
        <v>0</v>
      </c>
      <c r="S47" s="24"/>
      <c r="T47" s="52" t="e">
        <f>S47*(HLOOKUP("Ethanol Blend (10%)",'Energy Conv Factors'!$A$6:$M$17,'General Info'!$E$7,FALSE))/1000</f>
        <v>#VALUE!</v>
      </c>
      <c r="U47" s="51"/>
      <c r="V47" s="52">
        <f t="shared" si="4"/>
        <v>0</v>
      </c>
      <c r="W47" s="24"/>
      <c r="X47" s="52" t="e">
        <f>W47*(HLOOKUP("Biodiesel (B5)",'Energy Conv Factors'!$A$6:$M$17,'General Info'!$E$7,FALSE))/1000</f>
        <v>#VALUE!</v>
      </c>
      <c r="Y47" s="51"/>
      <c r="Z47" s="52">
        <f t="shared" si="5"/>
        <v>0</v>
      </c>
      <c r="AA47" s="24"/>
      <c r="AB47" s="52" t="e">
        <f>AA47*(HLOOKUP("Biodiesel (B10)",'Energy Conv Factors'!$A$6:$M$17,'General Info'!$E$7,FALSE))/1000</f>
        <v>#VALUE!</v>
      </c>
      <c r="AC47" s="51"/>
      <c r="AD47" s="52">
        <f t="shared" si="6"/>
        <v>0</v>
      </c>
      <c r="AE47" s="24"/>
      <c r="AF47" s="52" t="e">
        <f>AE47*(HLOOKUP("Biodiesel (B20)",'Energy Conv Factors'!$A$6:$M$17,'General Info'!$E$7,FALSE))/1000</f>
        <v>#VALUE!</v>
      </c>
      <c r="AG47" s="51"/>
      <c r="AH47" s="52">
        <f t="shared" si="7"/>
        <v>0</v>
      </c>
      <c r="AI47" s="53"/>
      <c r="AJ47" s="53"/>
      <c r="AK47" s="23">
        <f t="shared" si="8"/>
        <v>0</v>
      </c>
      <c r="AL47" s="25">
        <f t="shared" si="9"/>
        <v>0</v>
      </c>
      <c r="AM47" s="52" t="e">
        <f t="shared" si="10"/>
        <v>#VALUE!</v>
      </c>
      <c r="AN47" s="52">
        <f t="shared" si="11"/>
        <v>0</v>
      </c>
      <c r="AO47" s="26" t="e">
        <f t="shared" si="12"/>
        <v>#DIV/0!</v>
      </c>
      <c r="AP47" s="26" t="e">
        <f t="shared" si="13"/>
        <v>#DIV/0!</v>
      </c>
      <c r="AQ47" s="26" t="e">
        <f t="shared" si="16"/>
        <v>#DIV/0!</v>
      </c>
      <c r="AR47" s="26" t="e">
        <f t="shared" si="15"/>
        <v>#DIV/0!</v>
      </c>
      <c r="AS47" s="65"/>
      <c r="AT47" s="65"/>
      <c r="AU47" s="65"/>
      <c r="AV47" s="65"/>
      <c r="AW47" s="65"/>
      <c r="AX47" s="65"/>
      <c r="AY47" s="65"/>
      <c r="AZ47" s="65"/>
      <c r="BA47" s="65"/>
      <c r="BB47" s="65"/>
      <c r="BC47" s="65"/>
      <c r="BD47" s="65"/>
      <c r="BE47" s="65"/>
      <c r="BF47" s="65"/>
      <c r="BG47" s="65"/>
    </row>
    <row r="48" spans="1:59" s="27" customFormat="1" ht="11.25">
      <c r="A48" s="65"/>
      <c r="B48" s="23"/>
      <c r="C48" s="24"/>
      <c r="D48" s="52" t="e">
        <f>C48*(HLOOKUP("Gasoline",'Energy Conv Factors'!$A$6:$M$17,'General Info'!$E$7,FALSE))/1000</f>
        <v>#VALUE!</v>
      </c>
      <c r="E48" s="51"/>
      <c r="F48" s="52">
        <f t="shared" si="0"/>
        <v>0</v>
      </c>
      <c r="G48" s="24"/>
      <c r="H48" s="52" t="e">
        <f>G48*(HLOOKUP("Diesel",'Energy Conv Factors'!$A$6:$M$17,'General Info'!$E$7,FALSE))/1000</f>
        <v>#VALUE!</v>
      </c>
      <c r="I48" s="51"/>
      <c r="J48" s="52">
        <f t="shared" si="1"/>
        <v>0</v>
      </c>
      <c r="K48" s="24"/>
      <c r="L48" s="52" t="e">
        <f>K48*(HLOOKUP("Propane",'Energy Conv Factors'!$A$6:$M$17,'General Info'!$E$7,FALSE))/1000</f>
        <v>#VALUE!</v>
      </c>
      <c r="M48" s="51"/>
      <c r="N48" s="52">
        <f t="shared" si="2"/>
        <v>0</v>
      </c>
      <c r="O48" s="24"/>
      <c r="P48" s="52" t="e">
        <f>O48*(HLOOKUP("CNG",'Energy Conv Factors'!$A$6:$M$17,'General Info'!$E$7,FALSE))/1000</f>
        <v>#VALUE!</v>
      </c>
      <c r="Q48" s="51"/>
      <c r="R48" s="52">
        <f t="shared" si="3"/>
        <v>0</v>
      </c>
      <c r="S48" s="24"/>
      <c r="T48" s="52" t="e">
        <f>S48*(HLOOKUP("Ethanol Blend (10%)",'Energy Conv Factors'!$A$6:$M$17,'General Info'!$E$7,FALSE))/1000</f>
        <v>#VALUE!</v>
      </c>
      <c r="U48" s="51"/>
      <c r="V48" s="52">
        <f t="shared" si="4"/>
        <v>0</v>
      </c>
      <c r="W48" s="24"/>
      <c r="X48" s="52" t="e">
        <f>W48*(HLOOKUP("Biodiesel (B5)",'Energy Conv Factors'!$A$6:$M$17,'General Info'!$E$7,FALSE))/1000</f>
        <v>#VALUE!</v>
      </c>
      <c r="Y48" s="51"/>
      <c r="Z48" s="52">
        <f t="shared" si="5"/>
        <v>0</v>
      </c>
      <c r="AA48" s="24"/>
      <c r="AB48" s="52" t="e">
        <f>AA48*(HLOOKUP("Biodiesel (B10)",'Energy Conv Factors'!$A$6:$M$17,'General Info'!$E$7,FALSE))/1000</f>
        <v>#VALUE!</v>
      </c>
      <c r="AC48" s="51"/>
      <c r="AD48" s="52">
        <f t="shared" si="6"/>
        <v>0</v>
      </c>
      <c r="AE48" s="24"/>
      <c r="AF48" s="52" t="e">
        <f>AE48*(HLOOKUP("Biodiesel (B20)",'Energy Conv Factors'!$A$6:$M$17,'General Info'!$E$7,FALSE))/1000</f>
        <v>#VALUE!</v>
      </c>
      <c r="AG48" s="51"/>
      <c r="AH48" s="52">
        <f t="shared" si="7"/>
        <v>0</v>
      </c>
      <c r="AI48" s="53"/>
      <c r="AJ48" s="53"/>
      <c r="AK48" s="23">
        <f t="shared" si="8"/>
        <v>0</v>
      </c>
      <c r="AL48" s="25">
        <f t="shared" si="9"/>
        <v>0</v>
      </c>
      <c r="AM48" s="52" t="e">
        <f t="shared" si="10"/>
        <v>#VALUE!</v>
      </c>
      <c r="AN48" s="52">
        <f t="shared" si="11"/>
        <v>0</v>
      </c>
      <c r="AO48" s="26" t="e">
        <f t="shared" si="12"/>
        <v>#DIV/0!</v>
      </c>
      <c r="AP48" s="26" t="e">
        <f t="shared" si="13"/>
        <v>#DIV/0!</v>
      </c>
      <c r="AQ48" s="26" t="e">
        <f t="shared" si="16"/>
        <v>#DIV/0!</v>
      </c>
      <c r="AR48" s="26" t="e">
        <f t="shared" si="15"/>
        <v>#DIV/0!</v>
      </c>
      <c r="AS48" s="65"/>
      <c r="AT48" s="65"/>
      <c r="AU48" s="65"/>
      <c r="AV48" s="65"/>
      <c r="AW48" s="65"/>
      <c r="AX48" s="65"/>
      <c r="AY48" s="65"/>
      <c r="AZ48" s="65"/>
      <c r="BA48" s="65"/>
      <c r="BB48" s="65"/>
      <c r="BC48" s="65"/>
      <c r="BD48" s="65"/>
      <c r="BE48" s="65"/>
      <c r="BF48" s="65"/>
      <c r="BG48" s="65"/>
    </row>
    <row r="49" spans="1:59" s="27" customFormat="1" ht="11.25">
      <c r="A49" s="65"/>
      <c r="B49" s="23"/>
      <c r="C49" s="24"/>
      <c r="D49" s="52" t="e">
        <f>C49*(HLOOKUP("Gasoline",'Energy Conv Factors'!$A$6:$M$17,'General Info'!$E$7,FALSE))/1000</f>
        <v>#VALUE!</v>
      </c>
      <c r="E49" s="51"/>
      <c r="F49" s="52">
        <f t="shared" si="0"/>
        <v>0</v>
      </c>
      <c r="G49" s="24"/>
      <c r="H49" s="52" t="e">
        <f>G49*(HLOOKUP("Diesel",'Energy Conv Factors'!$A$6:$M$17,'General Info'!$E$7,FALSE))/1000</f>
        <v>#VALUE!</v>
      </c>
      <c r="I49" s="51"/>
      <c r="J49" s="52">
        <f t="shared" si="1"/>
        <v>0</v>
      </c>
      <c r="K49" s="24"/>
      <c r="L49" s="52" t="e">
        <f>K49*(HLOOKUP("Propane",'Energy Conv Factors'!$A$6:$M$17,'General Info'!$E$7,FALSE))/1000</f>
        <v>#VALUE!</v>
      </c>
      <c r="M49" s="51"/>
      <c r="N49" s="52">
        <f t="shared" si="2"/>
        <v>0</v>
      </c>
      <c r="O49" s="24"/>
      <c r="P49" s="52" t="e">
        <f>O49*(HLOOKUP("CNG",'Energy Conv Factors'!$A$6:$M$17,'General Info'!$E$7,FALSE))/1000</f>
        <v>#VALUE!</v>
      </c>
      <c r="Q49" s="51"/>
      <c r="R49" s="52">
        <f t="shared" si="3"/>
        <v>0</v>
      </c>
      <c r="S49" s="24"/>
      <c r="T49" s="52" t="e">
        <f>S49*(HLOOKUP("Ethanol Blend (10%)",'Energy Conv Factors'!$A$6:$M$17,'General Info'!$E$7,FALSE))/1000</f>
        <v>#VALUE!</v>
      </c>
      <c r="U49" s="51"/>
      <c r="V49" s="52">
        <f t="shared" si="4"/>
        <v>0</v>
      </c>
      <c r="W49" s="24"/>
      <c r="X49" s="52" t="e">
        <f>W49*(HLOOKUP("Biodiesel (B5)",'Energy Conv Factors'!$A$6:$M$17,'General Info'!$E$7,FALSE))/1000</f>
        <v>#VALUE!</v>
      </c>
      <c r="Y49" s="51"/>
      <c r="Z49" s="52">
        <f t="shared" si="5"/>
        <v>0</v>
      </c>
      <c r="AA49" s="24"/>
      <c r="AB49" s="52" t="e">
        <f>AA49*(HLOOKUP("Biodiesel (B10)",'Energy Conv Factors'!$A$6:$M$17,'General Info'!$E$7,FALSE))/1000</f>
        <v>#VALUE!</v>
      </c>
      <c r="AC49" s="51"/>
      <c r="AD49" s="52">
        <f t="shared" si="6"/>
        <v>0</v>
      </c>
      <c r="AE49" s="24"/>
      <c r="AF49" s="52" t="e">
        <f>AE49*(HLOOKUP("Biodiesel (B20)",'Energy Conv Factors'!$A$6:$M$17,'General Info'!$E$7,FALSE))/1000</f>
        <v>#VALUE!</v>
      </c>
      <c r="AG49" s="51"/>
      <c r="AH49" s="52">
        <f t="shared" si="7"/>
        <v>0</v>
      </c>
      <c r="AI49" s="53"/>
      <c r="AJ49" s="53"/>
      <c r="AK49" s="23">
        <f t="shared" si="8"/>
        <v>0</v>
      </c>
      <c r="AL49" s="25">
        <f t="shared" si="9"/>
        <v>0</v>
      </c>
      <c r="AM49" s="52" t="e">
        <f t="shared" si="10"/>
        <v>#VALUE!</v>
      </c>
      <c r="AN49" s="52">
        <f t="shared" si="11"/>
        <v>0</v>
      </c>
      <c r="AO49" s="26" t="e">
        <f t="shared" si="12"/>
        <v>#DIV/0!</v>
      </c>
      <c r="AP49" s="26" t="e">
        <f t="shared" si="13"/>
        <v>#DIV/0!</v>
      </c>
      <c r="AQ49" s="26" t="e">
        <f t="shared" si="16"/>
        <v>#DIV/0!</v>
      </c>
      <c r="AR49" s="26" t="e">
        <f t="shared" si="15"/>
        <v>#DIV/0!</v>
      </c>
      <c r="AS49" s="65"/>
      <c r="AT49" s="65"/>
      <c r="AU49" s="65"/>
      <c r="AV49" s="65"/>
      <c r="AW49" s="65"/>
      <c r="AX49" s="65"/>
      <c r="AY49" s="65"/>
      <c r="AZ49" s="65"/>
      <c r="BA49" s="65"/>
      <c r="BB49" s="65"/>
      <c r="BC49" s="65"/>
      <c r="BD49" s="65"/>
      <c r="BE49" s="65"/>
      <c r="BF49" s="65"/>
      <c r="BG49" s="65"/>
    </row>
    <row r="50" spans="1:59" s="27" customFormat="1" ht="11.25">
      <c r="A50" s="65"/>
      <c r="B50" s="23"/>
      <c r="C50" s="24"/>
      <c r="D50" s="52" t="e">
        <f>C50*(HLOOKUP("Gasoline",'Energy Conv Factors'!$A$6:$M$17,'General Info'!$E$7,FALSE))/1000</f>
        <v>#VALUE!</v>
      </c>
      <c r="E50" s="51"/>
      <c r="F50" s="52">
        <f t="shared" si="0"/>
        <v>0</v>
      </c>
      <c r="G50" s="24"/>
      <c r="H50" s="52" t="e">
        <f>G50*(HLOOKUP("Diesel",'Energy Conv Factors'!$A$6:$M$17,'General Info'!$E$7,FALSE))/1000</f>
        <v>#VALUE!</v>
      </c>
      <c r="I50" s="51"/>
      <c r="J50" s="52">
        <f t="shared" si="1"/>
        <v>0</v>
      </c>
      <c r="K50" s="24"/>
      <c r="L50" s="52" t="e">
        <f>K50*(HLOOKUP("Propane",'Energy Conv Factors'!$A$6:$M$17,'General Info'!$E$7,FALSE))/1000</f>
        <v>#VALUE!</v>
      </c>
      <c r="M50" s="51"/>
      <c r="N50" s="52">
        <f t="shared" si="2"/>
        <v>0</v>
      </c>
      <c r="O50" s="24"/>
      <c r="P50" s="52" t="e">
        <f>O50*(HLOOKUP("CNG",'Energy Conv Factors'!$A$6:$M$17,'General Info'!$E$7,FALSE))/1000</f>
        <v>#VALUE!</v>
      </c>
      <c r="Q50" s="51"/>
      <c r="R50" s="52">
        <f t="shared" si="3"/>
        <v>0</v>
      </c>
      <c r="S50" s="24"/>
      <c r="T50" s="52" t="e">
        <f>S50*(HLOOKUP("Ethanol Blend (10%)",'Energy Conv Factors'!$A$6:$M$17,'General Info'!$E$7,FALSE))/1000</f>
        <v>#VALUE!</v>
      </c>
      <c r="U50" s="51"/>
      <c r="V50" s="52">
        <f t="shared" si="4"/>
        <v>0</v>
      </c>
      <c r="W50" s="24"/>
      <c r="X50" s="52" t="e">
        <f>W50*(HLOOKUP("Biodiesel (B5)",'Energy Conv Factors'!$A$6:$M$17,'General Info'!$E$7,FALSE))/1000</f>
        <v>#VALUE!</v>
      </c>
      <c r="Y50" s="51"/>
      <c r="Z50" s="52">
        <f t="shared" si="5"/>
        <v>0</v>
      </c>
      <c r="AA50" s="24"/>
      <c r="AB50" s="52" t="e">
        <f>AA50*(HLOOKUP("Biodiesel (B10)",'Energy Conv Factors'!$A$6:$M$17,'General Info'!$E$7,FALSE))/1000</f>
        <v>#VALUE!</v>
      </c>
      <c r="AC50" s="51"/>
      <c r="AD50" s="52">
        <f t="shared" si="6"/>
        <v>0</v>
      </c>
      <c r="AE50" s="24"/>
      <c r="AF50" s="52" t="e">
        <f>AE50*(HLOOKUP("Biodiesel (B20)",'Energy Conv Factors'!$A$6:$M$17,'General Info'!$E$7,FALSE))/1000</f>
        <v>#VALUE!</v>
      </c>
      <c r="AG50" s="51"/>
      <c r="AH50" s="52">
        <f t="shared" si="7"/>
        <v>0</v>
      </c>
      <c r="AI50" s="53"/>
      <c r="AJ50" s="53"/>
      <c r="AK50" s="23">
        <f t="shared" si="8"/>
        <v>0</v>
      </c>
      <c r="AL50" s="25">
        <f t="shared" si="9"/>
        <v>0</v>
      </c>
      <c r="AM50" s="52" t="e">
        <f t="shared" si="10"/>
        <v>#VALUE!</v>
      </c>
      <c r="AN50" s="52">
        <f t="shared" si="11"/>
        <v>0</v>
      </c>
      <c r="AO50" s="26" t="e">
        <f t="shared" si="12"/>
        <v>#DIV/0!</v>
      </c>
      <c r="AP50" s="26" t="e">
        <f t="shared" si="13"/>
        <v>#DIV/0!</v>
      </c>
      <c r="AQ50" s="26" t="e">
        <f t="shared" si="16"/>
        <v>#DIV/0!</v>
      </c>
      <c r="AR50" s="26" t="e">
        <f t="shared" si="15"/>
        <v>#DIV/0!</v>
      </c>
      <c r="AS50" s="65"/>
      <c r="AT50" s="65"/>
      <c r="AU50" s="65"/>
      <c r="AV50" s="65"/>
      <c r="AW50" s="65"/>
      <c r="AX50" s="65"/>
      <c r="AY50" s="65"/>
      <c r="AZ50" s="65"/>
      <c r="BA50" s="65"/>
      <c r="BB50" s="65"/>
      <c r="BC50" s="65"/>
      <c r="BD50" s="65"/>
      <c r="BE50" s="65"/>
      <c r="BF50" s="65"/>
      <c r="BG50" s="65"/>
    </row>
    <row r="51" spans="1:59" s="27" customFormat="1" ht="11.25">
      <c r="A51" s="65"/>
      <c r="B51" s="23"/>
      <c r="C51" s="24"/>
      <c r="D51" s="52" t="e">
        <f>C51*(HLOOKUP("Gasoline",'Energy Conv Factors'!$A$6:$M$17,'General Info'!$E$7,FALSE))/1000</f>
        <v>#VALUE!</v>
      </c>
      <c r="E51" s="51"/>
      <c r="F51" s="52">
        <f t="shared" si="0"/>
        <v>0</v>
      </c>
      <c r="G51" s="24"/>
      <c r="H51" s="52" t="e">
        <f>G51*(HLOOKUP("Diesel",'Energy Conv Factors'!$A$6:$M$17,'General Info'!$E$7,FALSE))/1000</f>
        <v>#VALUE!</v>
      </c>
      <c r="I51" s="51"/>
      <c r="J51" s="52">
        <f t="shared" si="1"/>
        <v>0</v>
      </c>
      <c r="K51" s="24"/>
      <c r="L51" s="52" t="e">
        <f>K51*(HLOOKUP("Propane",'Energy Conv Factors'!$A$6:$M$17,'General Info'!$E$7,FALSE))/1000</f>
        <v>#VALUE!</v>
      </c>
      <c r="M51" s="51"/>
      <c r="N51" s="52">
        <f t="shared" si="2"/>
        <v>0</v>
      </c>
      <c r="O51" s="24"/>
      <c r="P51" s="52" t="e">
        <f>O51*(HLOOKUP("CNG",'Energy Conv Factors'!$A$6:$M$17,'General Info'!$E$7,FALSE))/1000</f>
        <v>#VALUE!</v>
      </c>
      <c r="Q51" s="51"/>
      <c r="R51" s="52">
        <f t="shared" si="3"/>
        <v>0</v>
      </c>
      <c r="S51" s="24"/>
      <c r="T51" s="52" t="e">
        <f>S51*(HLOOKUP("Ethanol Blend (10%)",'Energy Conv Factors'!$A$6:$M$17,'General Info'!$E$7,FALSE))/1000</f>
        <v>#VALUE!</v>
      </c>
      <c r="U51" s="51"/>
      <c r="V51" s="52">
        <f t="shared" si="4"/>
        <v>0</v>
      </c>
      <c r="W51" s="24"/>
      <c r="X51" s="52" t="e">
        <f>W51*(HLOOKUP("Biodiesel (B5)",'Energy Conv Factors'!$A$6:$M$17,'General Info'!$E$7,FALSE))/1000</f>
        <v>#VALUE!</v>
      </c>
      <c r="Y51" s="51"/>
      <c r="Z51" s="52">
        <f t="shared" si="5"/>
        <v>0</v>
      </c>
      <c r="AA51" s="24"/>
      <c r="AB51" s="52" t="e">
        <f>AA51*(HLOOKUP("Biodiesel (B10)",'Energy Conv Factors'!$A$6:$M$17,'General Info'!$E$7,FALSE))/1000</f>
        <v>#VALUE!</v>
      </c>
      <c r="AC51" s="51"/>
      <c r="AD51" s="52">
        <f t="shared" si="6"/>
        <v>0</v>
      </c>
      <c r="AE51" s="24"/>
      <c r="AF51" s="52" t="e">
        <f>AE51*(HLOOKUP("Biodiesel (B20)",'Energy Conv Factors'!$A$6:$M$17,'General Info'!$E$7,FALSE))/1000</f>
        <v>#VALUE!</v>
      </c>
      <c r="AG51" s="51"/>
      <c r="AH51" s="52">
        <f t="shared" si="7"/>
        <v>0</v>
      </c>
      <c r="AI51" s="53"/>
      <c r="AJ51" s="53"/>
      <c r="AK51" s="23">
        <f t="shared" si="8"/>
        <v>0</v>
      </c>
      <c r="AL51" s="25">
        <f t="shared" si="9"/>
        <v>0</v>
      </c>
      <c r="AM51" s="52" t="e">
        <f t="shared" si="10"/>
        <v>#VALUE!</v>
      </c>
      <c r="AN51" s="52">
        <f t="shared" si="11"/>
        <v>0</v>
      </c>
      <c r="AO51" s="26" t="e">
        <f t="shared" si="12"/>
        <v>#DIV/0!</v>
      </c>
      <c r="AP51" s="26" t="e">
        <f t="shared" si="13"/>
        <v>#DIV/0!</v>
      </c>
      <c r="AQ51" s="26" t="e">
        <f t="shared" si="16"/>
        <v>#DIV/0!</v>
      </c>
      <c r="AR51" s="26" t="e">
        <f t="shared" si="15"/>
        <v>#DIV/0!</v>
      </c>
      <c r="AS51" s="65"/>
      <c r="AT51" s="65"/>
      <c r="AU51" s="65"/>
      <c r="AV51" s="65"/>
      <c r="AW51" s="65"/>
      <c r="AX51" s="65"/>
      <c r="AY51" s="65"/>
      <c r="AZ51" s="65"/>
      <c r="BA51" s="65"/>
      <c r="BB51" s="65"/>
      <c r="BC51" s="65"/>
      <c r="BD51" s="65"/>
      <c r="BE51" s="65"/>
      <c r="BF51" s="65"/>
      <c r="BG51" s="65"/>
    </row>
    <row r="52" spans="1:59" s="27" customFormat="1" ht="11.25">
      <c r="A52" s="65"/>
      <c r="B52" s="23"/>
      <c r="C52" s="24"/>
      <c r="D52" s="52" t="e">
        <f>C52*(HLOOKUP("Gasoline",'Energy Conv Factors'!$A$6:$M$17,'General Info'!$E$7,FALSE))/1000</f>
        <v>#VALUE!</v>
      </c>
      <c r="E52" s="51"/>
      <c r="F52" s="52">
        <f t="shared" si="0"/>
        <v>0</v>
      </c>
      <c r="G52" s="24"/>
      <c r="H52" s="52" t="e">
        <f>G52*(HLOOKUP("Diesel",'Energy Conv Factors'!$A$6:$M$17,'General Info'!$E$7,FALSE))/1000</f>
        <v>#VALUE!</v>
      </c>
      <c r="I52" s="51"/>
      <c r="J52" s="52">
        <f t="shared" si="1"/>
        <v>0</v>
      </c>
      <c r="K52" s="24"/>
      <c r="L52" s="52" t="e">
        <f>K52*(HLOOKUP("Propane",'Energy Conv Factors'!$A$6:$M$17,'General Info'!$E$7,FALSE))/1000</f>
        <v>#VALUE!</v>
      </c>
      <c r="M52" s="51"/>
      <c r="N52" s="52">
        <f t="shared" si="2"/>
        <v>0</v>
      </c>
      <c r="O52" s="24"/>
      <c r="P52" s="52" t="e">
        <f>O52*(HLOOKUP("CNG",'Energy Conv Factors'!$A$6:$M$17,'General Info'!$E$7,FALSE))/1000</f>
        <v>#VALUE!</v>
      </c>
      <c r="Q52" s="51"/>
      <c r="R52" s="52">
        <f t="shared" si="3"/>
        <v>0</v>
      </c>
      <c r="S52" s="24"/>
      <c r="T52" s="52" t="e">
        <f>S52*(HLOOKUP("Ethanol Blend (10%)",'Energy Conv Factors'!$A$6:$M$17,'General Info'!$E$7,FALSE))/1000</f>
        <v>#VALUE!</v>
      </c>
      <c r="U52" s="51"/>
      <c r="V52" s="52">
        <f t="shared" si="4"/>
        <v>0</v>
      </c>
      <c r="W52" s="24"/>
      <c r="X52" s="52" t="e">
        <f>W52*(HLOOKUP("Biodiesel (B5)",'Energy Conv Factors'!$A$6:$M$17,'General Info'!$E$7,FALSE))/1000</f>
        <v>#VALUE!</v>
      </c>
      <c r="Y52" s="51"/>
      <c r="Z52" s="52">
        <f t="shared" si="5"/>
        <v>0</v>
      </c>
      <c r="AA52" s="24"/>
      <c r="AB52" s="52" t="e">
        <f>AA52*(HLOOKUP("Biodiesel (B10)",'Energy Conv Factors'!$A$6:$M$17,'General Info'!$E$7,FALSE))/1000</f>
        <v>#VALUE!</v>
      </c>
      <c r="AC52" s="51"/>
      <c r="AD52" s="52">
        <f t="shared" si="6"/>
        <v>0</v>
      </c>
      <c r="AE52" s="24"/>
      <c r="AF52" s="52" t="e">
        <f>AE52*(HLOOKUP("Biodiesel (B20)",'Energy Conv Factors'!$A$6:$M$17,'General Info'!$E$7,FALSE))/1000</f>
        <v>#VALUE!</v>
      </c>
      <c r="AG52" s="51"/>
      <c r="AH52" s="52">
        <f t="shared" si="7"/>
        <v>0</v>
      </c>
      <c r="AI52" s="53"/>
      <c r="AJ52" s="53"/>
      <c r="AK52" s="23">
        <f t="shared" si="8"/>
        <v>0</v>
      </c>
      <c r="AL52" s="25">
        <f t="shared" si="9"/>
        <v>0</v>
      </c>
      <c r="AM52" s="52" t="e">
        <f t="shared" si="10"/>
        <v>#VALUE!</v>
      </c>
      <c r="AN52" s="52">
        <f t="shared" si="11"/>
        <v>0</v>
      </c>
      <c r="AO52" s="26" t="e">
        <f t="shared" si="12"/>
        <v>#DIV/0!</v>
      </c>
      <c r="AP52" s="26" t="e">
        <f t="shared" si="13"/>
        <v>#DIV/0!</v>
      </c>
      <c r="AQ52" s="26" t="e">
        <f t="shared" si="16"/>
        <v>#DIV/0!</v>
      </c>
      <c r="AR52" s="26" t="e">
        <f t="shared" si="15"/>
        <v>#DIV/0!</v>
      </c>
      <c r="AS52" s="65"/>
      <c r="AT52" s="65"/>
      <c r="AU52" s="65"/>
      <c r="AV52" s="65"/>
      <c r="AW52" s="65"/>
      <c r="AX52" s="65"/>
      <c r="AY52" s="65"/>
      <c r="AZ52" s="65"/>
      <c r="BA52" s="65"/>
      <c r="BB52" s="65"/>
      <c r="BC52" s="65"/>
      <c r="BD52" s="65"/>
      <c r="BE52" s="65"/>
      <c r="BF52" s="65"/>
      <c r="BG52" s="65"/>
    </row>
    <row r="53" spans="1:59" s="27" customFormat="1" ht="11.25">
      <c r="A53" s="65"/>
      <c r="B53" s="23"/>
      <c r="C53" s="24"/>
      <c r="D53" s="52" t="e">
        <f>C53*(HLOOKUP("Gasoline",'Energy Conv Factors'!$A$6:$M$17,'General Info'!$E$7,FALSE))/1000</f>
        <v>#VALUE!</v>
      </c>
      <c r="E53" s="51"/>
      <c r="F53" s="52">
        <f t="shared" si="0"/>
        <v>0</v>
      </c>
      <c r="G53" s="24"/>
      <c r="H53" s="52" t="e">
        <f>G53*(HLOOKUP("Diesel",'Energy Conv Factors'!$A$6:$M$17,'General Info'!$E$7,FALSE))/1000</f>
        <v>#VALUE!</v>
      </c>
      <c r="I53" s="51"/>
      <c r="J53" s="52">
        <f t="shared" si="1"/>
        <v>0</v>
      </c>
      <c r="K53" s="24"/>
      <c r="L53" s="52" t="e">
        <f>K53*(HLOOKUP("Propane",'Energy Conv Factors'!$A$6:$M$17,'General Info'!$E$7,FALSE))/1000</f>
        <v>#VALUE!</v>
      </c>
      <c r="M53" s="51"/>
      <c r="N53" s="52">
        <f t="shared" si="2"/>
        <v>0</v>
      </c>
      <c r="O53" s="24"/>
      <c r="P53" s="52" t="e">
        <f>O53*(HLOOKUP("CNG",'Energy Conv Factors'!$A$6:$M$17,'General Info'!$E$7,FALSE))/1000</f>
        <v>#VALUE!</v>
      </c>
      <c r="Q53" s="51"/>
      <c r="R53" s="52">
        <f t="shared" si="3"/>
        <v>0</v>
      </c>
      <c r="S53" s="24"/>
      <c r="T53" s="52" t="e">
        <f>S53*(HLOOKUP("Ethanol Blend (10%)",'Energy Conv Factors'!$A$6:$M$17,'General Info'!$E$7,FALSE))/1000</f>
        <v>#VALUE!</v>
      </c>
      <c r="U53" s="51"/>
      <c r="V53" s="52">
        <f t="shared" si="4"/>
        <v>0</v>
      </c>
      <c r="W53" s="24"/>
      <c r="X53" s="52" t="e">
        <f>W53*(HLOOKUP("Biodiesel (B5)",'Energy Conv Factors'!$A$6:$M$17,'General Info'!$E$7,FALSE))/1000</f>
        <v>#VALUE!</v>
      </c>
      <c r="Y53" s="51"/>
      <c r="Z53" s="52">
        <f t="shared" si="5"/>
        <v>0</v>
      </c>
      <c r="AA53" s="24"/>
      <c r="AB53" s="52" t="e">
        <f>AA53*(HLOOKUP("Biodiesel (B10)",'Energy Conv Factors'!$A$6:$M$17,'General Info'!$E$7,FALSE))/1000</f>
        <v>#VALUE!</v>
      </c>
      <c r="AC53" s="51"/>
      <c r="AD53" s="52">
        <f t="shared" si="6"/>
        <v>0</v>
      </c>
      <c r="AE53" s="24"/>
      <c r="AF53" s="52" t="e">
        <f>AE53*(HLOOKUP("Biodiesel (B20)",'Energy Conv Factors'!$A$6:$M$17,'General Info'!$E$7,FALSE))/1000</f>
        <v>#VALUE!</v>
      </c>
      <c r="AG53" s="51"/>
      <c r="AH53" s="52">
        <f t="shared" si="7"/>
        <v>0</v>
      </c>
      <c r="AI53" s="53"/>
      <c r="AJ53" s="53"/>
      <c r="AK53" s="23">
        <f t="shared" si="8"/>
        <v>0</v>
      </c>
      <c r="AL53" s="25">
        <f t="shared" si="9"/>
        <v>0</v>
      </c>
      <c r="AM53" s="52" t="e">
        <f t="shared" si="10"/>
        <v>#VALUE!</v>
      </c>
      <c r="AN53" s="52">
        <f t="shared" si="11"/>
        <v>0</v>
      </c>
      <c r="AO53" s="26" t="e">
        <f t="shared" si="12"/>
        <v>#DIV/0!</v>
      </c>
      <c r="AP53" s="26" t="e">
        <f t="shared" si="13"/>
        <v>#DIV/0!</v>
      </c>
      <c r="AQ53" s="26" t="e">
        <f t="shared" si="16"/>
        <v>#DIV/0!</v>
      </c>
      <c r="AR53" s="26" t="e">
        <f t="shared" si="15"/>
        <v>#DIV/0!</v>
      </c>
      <c r="AS53" s="65"/>
      <c r="AT53" s="65"/>
      <c r="AU53" s="65"/>
      <c r="AV53" s="65"/>
      <c r="AW53" s="65"/>
      <c r="AX53" s="65"/>
      <c r="AY53" s="65"/>
      <c r="AZ53" s="65"/>
      <c r="BA53" s="65"/>
      <c r="BB53" s="65"/>
      <c r="BC53" s="65"/>
      <c r="BD53" s="65"/>
      <c r="BE53" s="65"/>
      <c r="BF53" s="65"/>
      <c r="BG53" s="65"/>
    </row>
    <row r="54" spans="1:59" s="14" customFormat="1" ht="12.75" thickBot="1">
      <c r="A54" s="63"/>
      <c r="B54" s="19" t="s">
        <v>62</v>
      </c>
      <c r="C54" s="20">
        <f>SUM(C10:C53)</f>
        <v>0</v>
      </c>
      <c r="D54" s="20" t="e">
        <f>SUM(D10:D53)</f>
        <v>#VALUE!</v>
      </c>
      <c r="E54" s="21">
        <f>SUM(E10:E53)</f>
        <v>0</v>
      </c>
      <c r="F54" s="21">
        <f aca="true" t="shared" si="17" ref="F54:V54">SUM(F10:F53)</f>
        <v>0</v>
      </c>
      <c r="G54" s="21">
        <f t="shared" si="17"/>
        <v>0</v>
      </c>
      <c r="H54" s="21" t="e">
        <f t="shared" si="17"/>
        <v>#VALUE!</v>
      </c>
      <c r="I54" s="21">
        <f t="shared" si="17"/>
        <v>0</v>
      </c>
      <c r="J54" s="21">
        <f t="shared" si="17"/>
        <v>0</v>
      </c>
      <c r="K54" s="21">
        <f t="shared" si="17"/>
        <v>0</v>
      </c>
      <c r="L54" s="21" t="e">
        <f t="shared" si="17"/>
        <v>#VALUE!</v>
      </c>
      <c r="M54" s="21">
        <f t="shared" si="17"/>
        <v>0</v>
      </c>
      <c r="N54" s="21">
        <f t="shared" si="17"/>
        <v>0</v>
      </c>
      <c r="O54" s="21">
        <f t="shared" si="17"/>
        <v>0</v>
      </c>
      <c r="P54" s="21" t="e">
        <f t="shared" si="17"/>
        <v>#VALUE!</v>
      </c>
      <c r="Q54" s="21">
        <f t="shared" si="17"/>
        <v>0</v>
      </c>
      <c r="R54" s="21">
        <f t="shared" si="17"/>
        <v>0</v>
      </c>
      <c r="S54" s="21">
        <f t="shared" si="17"/>
        <v>0</v>
      </c>
      <c r="T54" s="21" t="e">
        <f t="shared" si="17"/>
        <v>#VALUE!</v>
      </c>
      <c r="U54" s="21">
        <f t="shared" si="17"/>
        <v>0</v>
      </c>
      <c r="V54" s="21">
        <f t="shared" si="17"/>
        <v>0</v>
      </c>
      <c r="W54" s="21">
        <f aca="true" t="shared" si="18" ref="W54:AH54">SUM(W10:W53)</f>
        <v>0</v>
      </c>
      <c r="X54" s="21" t="e">
        <f t="shared" si="18"/>
        <v>#VALUE!</v>
      </c>
      <c r="Y54" s="21">
        <f t="shared" si="18"/>
        <v>0</v>
      </c>
      <c r="Z54" s="21">
        <f t="shared" si="18"/>
        <v>0</v>
      </c>
      <c r="AA54" s="21">
        <f t="shared" si="18"/>
        <v>0</v>
      </c>
      <c r="AB54" s="21" t="e">
        <f t="shared" si="18"/>
        <v>#VALUE!</v>
      </c>
      <c r="AC54" s="21">
        <f t="shared" si="18"/>
        <v>0</v>
      </c>
      <c r="AD54" s="21">
        <f t="shared" si="18"/>
        <v>0</v>
      </c>
      <c r="AE54" s="21">
        <f t="shared" si="18"/>
        <v>0</v>
      </c>
      <c r="AF54" s="21" t="e">
        <f t="shared" si="18"/>
        <v>#VALUE!</v>
      </c>
      <c r="AG54" s="21">
        <f t="shared" si="18"/>
        <v>0</v>
      </c>
      <c r="AH54" s="21">
        <f t="shared" si="18"/>
        <v>0</v>
      </c>
      <c r="AI54" s="22">
        <f>SUM(AI10:AI53)</f>
        <v>0</v>
      </c>
      <c r="AJ54" s="22">
        <f>SUM(AJ10:AJ53)</f>
        <v>0</v>
      </c>
      <c r="AK54" s="19" t="s">
        <v>62</v>
      </c>
      <c r="AL54" s="21">
        <f>SUM(AL10:AL53)</f>
        <v>0</v>
      </c>
      <c r="AM54" s="21" t="e">
        <f>AF54+AB54+X54+T54+P54+L54+H54+D54</f>
        <v>#VALUE!</v>
      </c>
      <c r="AN54" s="21">
        <f>SUM(AN10:AN53)</f>
        <v>0</v>
      </c>
      <c r="AO54" s="26" t="e">
        <f>AL54/AI54</f>
        <v>#DIV/0!</v>
      </c>
      <c r="AP54" s="26" t="e">
        <f>AL54/AJ54</f>
        <v>#DIV/0!</v>
      </c>
      <c r="AQ54" s="26" t="e">
        <f t="shared" si="16"/>
        <v>#DIV/0!</v>
      </c>
      <c r="AR54" s="26" t="e">
        <f>AN54/AJ54</f>
        <v>#DIV/0!</v>
      </c>
      <c r="AS54" s="63"/>
      <c r="AT54" s="63"/>
      <c r="AU54" s="63"/>
      <c r="AV54" s="63"/>
      <c r="AW54" s="63"/>
      <c r="AX54" s="63"/>
      <c r="AY54" s="63"/>
      <c r="AZ54" s="63"/>
      <c r="BA54" s="63"/>
      <c r="BB54" s="63"/>
      <c r="BC54" s="63"/>
      <c r="BD54" s="63"/>
      <c r="BE54" s="63"/>
      <c r="BF54" s="63"/>
      <c r="BG54" s="63"/>
    </row>
    <row r="55" spans="1:59" ht="12.75">
      <c r="A55" s="58"/>
      <c r="B55" s="58"/>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58"/>
      <c r="AJ55" s="58"/>
      <c r="AK55" s="58"/>
      <c r="AL55" s="66"/>
      <c r="AM55" s="66"/>
      <c r="AN55" s="66"/>
      <c r="AO55" s="58"/>
      <c r="AP55" s="58"/>
      <c r="AQ55" s="58"/>
      <c r="AR55" s="58"/>
      <c r="AS55" s="58"/>
      <c r="AT55" s="58"/>
      <c r="AU55" s="58"/>
      <c r="AV55" s="58"/>
      <c r="AW55" s="58"/>
      <c r="AX55" s="58"/>
      <c r="AY55" s="58"/>
      <c r="AZ55" s="58"/>
      <c r="BA55" s="58"/>
      <c r="BB55" s="58"/>
      <c r="BC55" s="58"/>
      <c r="BD55" s="58"/>
      <c r="BE55" s="58"/>
      <c r="BF55" s="58"/>
      <c r="BG55" s="58"/>
    </row>
    <row r="56" spans="1:59" ht="12.75">
      <c r="A56" s="58"/>
      <c r="B56" s="58"/>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58"/>
      <c r="AJ56" s="58"/>
      <c r="AK56" s="58"/>
      <c r="AL56" s="66"/>
      <c r="AM56" s="66"/>
      <c r="AN56" s="66"/>
      <c r="AO56" s="58"/>
      <c r="AP56" s="58"/>
      <c r="AQ56" s="58"/>
      <c r="AR56" s="58"/>
      <c r="AS56" s="58"/>
      <c r="AT56" s="58"/>
      <c r="AU56" s="58"/>
      <c r="AV56" s="58"/>
      <c r="AW56" s="58"/>
      <c r="AX56" s="58"/>
      <c r="AY56" s="58"/>
      <c r="AZ56" s="58"/>
      <c r="BA56" s="58"/>
      <c r="BB56" s="58"/>
      <c r="BC56" s="58"/>
      <c r="BD56" s="58"/>
      <c r="BE56" s="58"/>
      <c r="BF56" s="58"/>
      <c r="BG56" s="58"/>
    </row>
    <row r="57" spans="1:59" ht="12.75">
      <c r="A57" s="58"/>
      <c r="B57" s="58"/>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58"/>
      <c r="AJ57" s="58"/>
      <c r="AK57" s="58"/>
      <c r="AL57" s="66"/>
      <c r="AM57" s="66"/>
      <c r="AN57" s="66"/>
      <c r="AO57" s="58"/>
      <c r="AP57" s="58"/>
      <c r="AQ57" s="58"/>
      <c r="AR57" s="58"/>
      <c r="AS57" s="58"/>
      <c r="AT57" s="58"/>
      <c r="AU57" s="58"/>
      <c r="AV57" s="58"/>
      <c r="AW57" s="58"/>
      <c r="AX57" s="58"/>
      <c r="AY57" s="58"/>
      <c r="AZ57" s="58"/>
      <c r="BA57" s="58"/>
      <c r="BB57" s="58"/>
      <c r="BC57" s="58"/>
      <c r="BD57" s="58"/>
      <c r="BE57" s="58"/>
      <c r="BF57" s="58"/>
      <c r="BG57" s="58"/>
    </row>
    <row r="58" spans="1:59" ht="12.75">
      <c r="A58" s="58"/>
      <c r="B58" s="58"/>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58"/>
      <c r="AJ58" s="58"/>
      <c r="AK58" s="58"/>
      <c r="AL58" s="66"/>
      <c r="AM58" s="66"/>
      <c r="AN58" s="66"/>
      <c r="AO58" s="58"/>
      <c r="AP58" s="58"/>
      <c r="AQ58" s="58"/>
      <c r="AR58" s="58"/>
      <c r="AS58" s="58"/>
      <c r="AT58" s="58"/>
      <c r="AU58" s="58"/>
      <c r="AV58" s="58"/>
      <c r="AW58" s="58"/>
      <c r="AX58" s="58"/>
      <c r="AY58" s="58"/>
      <c r="AZ58" s="58"/>
      <c r="BA58" s="58"/>
      <c r="BB58" s="58"/>
      <c r="BC58" s="58"/>
      <c r="BD58" s="58"/>
      <c r="BE58" s="58"/>
      <c r="BF58" s="58"/>
      <c r="BG58" s="58"/>
    </row>
    <row r="59" spans="1:59" ht="12.75">
      <c r="A59" s="58"/>
      <c r="B59" s="58"/>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58"/>
      <c r="AJ59" s="58"/>
      <c r="AK59" s="58"/>
      <c r="AL59" s="66"/>
      <c r="AM59" s="66"/>
      <c r="AN59" s="66"/>
      <c r="AO59" s="58"/>
      <c r="AP59" s="58"/>
      <c r="AQ59" s="58"/>
      <c r="AR59" s="58"/>
      <c r="AS59" s="58"/>
      <c r="AT59" s="58"/>
      <c r="AU59" s="58"/>
      <c r="AV59" s="58"/>
      <c r="AW59" s="58"/>
      <c r="AX59" s="58"/>
      <c r="AY59" s="58"/>
      <c r="AZ59" s="58"/>
      <c r="BA59" s="58"/>
      <c r="BB59" s="58"/>
      <c r="BC59" s="58"/>
      <c r="BD59" s="58"/>
      <c r="BE59" s="58"/>
      <c r="BF59" s="58"/>
      <c r="BG59" s="58"/>
    </row>
    <row r="60" spans="1:59" ht="12.75">
      <c r="A60" s="58"/>
      <c r="B60" s="58"/>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58"/>
      <c r="AJ60" s="58"/>
      <c r="AK60" s="58"/>
      <c r="AL60" s="66"/>
      <c r="AM60" s="66"/>
      <c r="AN60" s="66"/>
      <c r="AO60" s="58"/>
      <c r="AP60" s="58"/>
      <c r="AQ60" s="58"/>
      <c r="AR60" s="58"/>
      <c r="AS60" s="58"/>
      <c r="AT60" s="58"/>
      <c r="AU60" s="58"/>
      <c r="AV60" s="58"/>
      <c r="AW60" s="58"/>
      <c r="AX60" s="58"/>
      <c r="AY60" s="58"/>
      <c r="AZ60" s="58"/>
      <c r="BA60" s="58"/>
      <c r="BB60" s="58"/>
      <c r="BC60" s="58"/>
      <c r="BD60" s="58"/>
      <c r="BE60" s="58"/>
      <c r="BF60" s="58"/>
      <c r="BG60" s="58"/>
    </row>
    <row r="61" spans="1:59" ht="12.75">
      <c r="A61" s="58"/>
      <c r="B61" s="58"/>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58"/>
      <c r="AJ61" s="58"/>
      <c r="AK61" s="58"/>
      <c r="AL61" s="66"/>
      <c r="AM61" s="66"/>
      <c r="AN61" s="66"/>
      <c r="AO61" s="58"/>
      <c r="AP61" s="58"/>
      <c r="AQ61" s="58"/>
      <c r="AR61" s="58"/>
      <c r="AS61" s="58"/>
      <c r="AT61" s="58"/>
      <c r="AU61" s="58"/>
      <c r="AV61" s="58"/>
      <c r="AW61" s="58"/>
      <c r="AX61" s="58"/>
      <c r="AY61" s="58"/>
      <c r="AZ61" s="58"/>
      <c r="BA61" s="58"/>
      <c r="BB61" s="58"/>
      <c r="BC61" s="58"/>
      <c r="BD61" s="58"/>
      <c r="BE61" s="58"/>
      <c r="BF61" s="58"/>
      <c r="BG61" s="58"/>
    </row>
    <row r="62" spans="1:59" ht="12.75">
      <c r="A62" s="58"/>
      <c r="B62" s="58"/>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58"/>
      <c r="AJ62" s="58"/>
      <c r="AK62" s="58"/>
      <c r="AL62" s="66"/>
      <c r="AM62" s="66"/>
      <c r="AN62" s="66"/>
      <c r="AO62" s="58"/>
      <c r="AP62" s="58"/>
      <c r="AQ62" s="58"/>
      <c r="AR62" s="58"/>
      <c r="AS62" s="58"/>
      <c r="AT62" s="58"/>
      <c r="AU62" s="58"/>
      <c r="AV62" s="58"/>
      <c r="AW62" s="58"/>
      <c r="AX62" s="58"/>
      <c r="AY62" s="58"/>
      <c r="AZ62" s="58"/>
      <c r="BA62" s="58"/>
      <c r="BB62" s="58"/>
      <c r="BC62" s="58"/>
      <c r="BD62" s="58"/>
      <c r="BE62" s="58"/>
      <c r="BF62" s="58"/>
      <c r="BG62" s="58"/>
    </row>
    <row r="63" spans="1:59" ht="12.75">
      <c r="A63" s="58"/>
      <c r="B63" s="58"/>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58"/>
      <c r="AJ63" s="58"/>
      <c r="AK63" s="58"/>
      <c r="AL63" s="66"/>
      <c r="AM63" s="66"/>
      <c r="AN63" s="66"/>
      <c r="AO63" s="58"/>
      <c r="AP63" s="58"/>
      <c r="AQ63" s="58"/>
      <c r="AR63" s="58"/>
      <c r="AS63" s="58"/>
      <c r="AT63" s="58"/>
      <c r="AU63" s="58"/>
      <c r="AV63" s="58"/>
      <c r="AW63" s="58"/>
      <c r="AX63" s="58"/>
      <c r="AY63" s="58"/>
      <c r="AZ63" s="58"/>
      <c r="BA63" s="58"/>
      <c r="BB63" s="58"/>
      <c r="BC63" s="58"/>
      <c r="BD63" s="58"/>
      <c r="BE63" s="58"/>
      <c r="BF63" s="58"/>
      <c r="BG63" s="58"/>
    </row>
    <row r="64" spans="1:59" ht="12.75">
      <c r="A64" s="58"/>
      <c r="B64" s="58"/>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58"/>
      <c r="AJ64" s="58"/>
      <c r="AK64" s="58"/>
      <c r="AL64" s="66"/>
      <c r="AM64" s="66"/>
      <c r="AN64" s="66"/>
      <c r="AO64" s="58"/>
      <c r="AP64" s="58"/>
      <c r="AQ64" s="58"/>
      <c r="AR64" s="58"/>
      <c r="AS64" s="58"/>
      <c r="AT64" s="58"/>
      <c r="AU64" s="58"/>
      <c r="AV64" s="58"/>
      <c r="AW64" s="58"/>
      <c r="AX64" s="58"/>
      <c r="AY64" s="58"/>
      <c r="AZ64" s="58"/>
      <c r="BA64" s="58"/>
      <c r="BB64" s="58"/>
      <c r="BC64" s="58"/>
      <c r="BD64" s="58"/>
      <c r="BE64" s="58"/>
      <c r="BF64" s="58"/>
      <c r="BG64" s="58"/>
    </row>
    <row r="65" spans="1:59" ht="12.75">
      <c r="A65" s="58"/>
      <c r="B65" s="58"/>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58"/>
      <c r="AJ65" s="58"/>
      <c r="AK65" s="58"/>
      <c r="AL65" s="66"/>
      <c r="AM65" s="66"/>
      <c r="AN65" s="66"/>
      <c r="AO65" s="58"/>
      <c r="AP65" s="58"/>
      <c r="AQ65" s="58"/>
      <c r="AR65" s="58"/>
      <c r="AS65" s="58"/>
      <c r="AT65" s="58"/>
      <c r="AU65" s="58"/>
      <c r="AV65" s="58"/>
      <c r="AW65" s="58"/>
      <c r="AX65" s="58"/>
      <c r="AY65" s="58"/>
      <c r="AZ65" s="58"/>
      <c r="BA65" s="58"/>
      <c r="BB65" s="58"/>
      <c r="BC65" s="58"/>
      <c r="BD65" s="58"/>
      <c r="BE65" s="58"/>
      <c r="BF65" s="58"/>
      <c r="BG65" s="58"/>
    </row>
    <row r="66" spans="1:59" ht="12.75">
      <c r="A66" s="58"/>
      <c r="B66" s="58"/>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58"/>
      <c r="AJ66" s="58"/>
      <c r="AK66" s="58"/>
      <c r="AL66" s="66"/>
      <c r="AM66" s="66"/>
      <c r="AN66" s="66"/>
      <c r="AO66" s="58"/>
      <c r="AP66" s="58"/>
      <c r="AQ66" s="58"/>
      <c r="AR66" s="58"/>
      <c r="AS66" s="58"/>
      <c r="AT66" s="58"/>
      <c r="AU66" s="58"/>
      <c r="AV66" s="58"/>
      <c r="AW66" s="58"/>
      <c r="AX66" s="58"/>
      <c r="AY66" s="58"/>
      <c r="AZ66" s="58"/>
      <c r="BA66" s="58"/>
      <c r="BB66" s="58"/>
      <c r="BC66" s="58"/>
      <c r="BD66" s="58"/>
      <c r="BE66" s="58"/>
      <c r="BF66" s="58"/>
      <c r="BG66" s="58"/>
    </row>
    <row r="67" spans="1:59" ht="12.75">
      <c r="A67" s="58"/>
      <c r="B67" s="58"/>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58"/>
      <c r="AJ67" s="58"/>
      <c r="AK67" s="58"/>
      <c r="AL67" s="66"/>
      <c r="AM67" s="66"/>
      <c r="AN67" s="66"/>
      <c r="AO67" s="58"/>
      <c r="AP67" s="58"/>
      <c r="AQ67" s="58"/>
      <c r="AR67" s="58"/>
      <c r="AS67" s="58"/>
      <c r="AT67" s="58"/>
      <c r="AU67" s="58"/>
      <c r="AV67" s="58"/>
      <c r="AW67" s="58"/>
      <c r="AX67" s="58"/>
      <c r="AY67" s="58"/>
      <c r="AZ67" s="58"/>
      <c r="BA67" s="58"/>
      <c r="BB67" s="58"/>
      <c r="BC67" s="58"/>
      <c r="BD67" s="58"/>
      <c r="BE67" s="58"/>
      <c r="BF67" s="58"/>
      <c r="BG67" s="58"/>
    </row>
    <row r="68" spans="1:59" ht="12.75">
      <c r="A68" s="58"/>
      <c r="B68" s="58"/>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58"/>
      <c r="AJ68" s="58"/>
      <c r="AK68" s="58"/>
      <c r="AL68" s="66"/>
      <c r="AM68" s="66"/>
      <c r="AN68" s="66"/>
      <c r="AO68" s="58"/>
      <c r="AP68" s="58"/>
      <c r="AQ68" s="58"/>
      <c r="AR68" s="58"/>
      <c r="AS68" s="58"/>
      <c r="AT68" s="58"/>
      <c r="AU68" s="58"/>
      <c r="AV68" s="58"/>
      <c r="AW68" s="58"/>
      <c r="AX68" s="58"/>
      <c r="AY68" s="58"/>
      <c r="AZ68" s="58"/>
      <c r="BA68" s="58"/>
      <c r="BB68" s="58"/>
      <c r="BC68" s="58"/>
      <c r="BD68" s="58"/>
      <c r="BE68" s="58"/>
      <c r="BF68" s="58"/>
      <c r="BG68" s="58"/>
    </row>
    <row r="69" spans="1:59" ht="12.75">
      <c r="A69" s="58"/>
      <c r="B69" s="58"/>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58"/>
      <c r="AJ69" s="58"/>
      <c r="AK69" s="58"/>
      <c r="AL69" s="66"/>
      <c r="AM69" s="66"/>
      <c r="AN69" s="66"/>
      <c r="AO69" s="58"/>
      <c r="AP69" s="58"/>
      <c r="AQ69" s="58"/>
      <c r="AR69" s="58"/>
      <c r="AS69" s="58"/>
      <c r="AT69" s="58"/>
      <c r="AU69" s="58"/>
      <c r="AV69" s="58"/>
      <c r="AW69" s="58"/>
      <c r="AX69" s="58"/>
      <c r="AY69" s="58"/>
      <c r="AZ69" s="58"/>
      <c r="BA69" s="58"/>
      <c r="BB69" s="58"/>
      <c r="BC69" s="58"/>
      <c r="BD69" s="58"/>
      <c r="BE69" s="58"/>
      <c r="BF69" s="58"/>
      <c r="BG69" s="58"/>
    </row>
    <row r="70" spans="1:59" ht="12.75">
      <c r="A70" s="58"/>
      <c r="B70" s="58"/>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58"/>
      <c r="AJ70" s="58"/>
      <c r="AK70" s="58"/>
      <c r="AL70" s="66"/>
      <c r="AM70" s="66"/>
      <c r="AN70" s="66"/>
      <c r="AO70" s="58"/>
      <c r="AP70" s="58"/>
      <c r="AQ70" s="58"/>
      <c r="AR70" s="58"/>
      <c r="AS70" s="58"/>
      <c r="AT70" s="58"/>
      <c r="AU70" s="58"/>
      <c r="AV70" s="58"/>
      <c r="AW70" s="58"/>
      <c r="AX70" s="58"/>
      <c r="AY70" s="58"/>
      <c r="AZ70" s="58"/>
      <c r="BA70" s="58"/>
      <c r="BB70" s="58"/>
      <c r="BC70" s="58"/>
      <c r="BD70" s="58"/>
      <c r="BE70" s="58"/>
      <c r="BF70" s="58"/>
      <c r="BG70" s="58"/>
    </row>
    <row r="71" spans="2:59" ht="12.75">
      <c r="B71" s="58"/>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58"/>
      <c r="AJ71" s="58"/>
      <c r="AK71" s="58"/>
      <c r="AL71" s="66"/>
      <c r="AM71" s="66"/>
      <c r="AN71" s="66"/>
      <c r="AO71" s="58"/>
      <c r="AP71" s="58"/>
      <c r="AQ71" s="58"/>
      <c r="AR71" s="58"/>
      <c r="AS71" s="58"/>
      <c r="AT71" s="58"/>
      <c r="AU71" s="58"/>
      <c r="AV71" s="58"/>
      <c r="AW71" s="58"/>
      <c r="AX71" s="58"/>
      <c r="AY71" s="58"/>
      <c r="AZ71" s="58"/>
      <c r="BA71" s="58"/>
      <c r="BB71" s="58"/>
      <c r="BC71" s="58"/>
      <c r="BD71" s="58"/>
      <c r="BE71" s="58"/>
      <c r="BF71" s="58"/>
      <c r="BG71" s="58"/>
    </row>
    <row r="72" spans="2:59" ht="12.75">
      <c r="B72" s="58"/>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58"/>
      <c r="AJ72" s="58"/>
      <c r="AK72" s="58"/>
      <c r="AL72" s="66"/>
      <c r="AM72" s="66"/>
      <c r="AN72" s="66"/>
      <c r="AO72" s="58"/>
      <c r="AP72" s="58"/>
      <c r="AQ72" s="58"/>
      <c r="AR72" s="58"/>
      <c r="AS72" s="58"/>
      <c r="AT72" s="58"/>
      <c r="AU72" s="58"/>
      <c r="AV72" s="58"/>
      <c r="AW72" s="58"/>
      <c r="AX72" s="58"/>
      <c r="AY72" s="58"/>
      <c r="AZ72" s="58"/>
      <c r="BA72" s="58"/>
      <c r="BB72" s="58"/>
      <c r="BC72" s="58"/>
      <c r="BD72" s="58"/>
      <c r="BE72" s="58"/>
      <c r="BF72" s="58"/>
      <c r="BG72" s="58"/>
    </row>
    <row r="73" spans="2:59" ht="12.75">
      <c r="B73" s="58"/>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58"/>
      <c r="AJ73" s="58"/>
      <c r="AK73" s="58"/>
      <c r="AL73" s="66"/>
      <c r="AM73" s="66"/>
      <c r="AN73" s="66"/>
      <c r="AO73" s="58"/>
      <c r="AP73" s="58"/>
      <c r="AQ73" s="58"/>
      <c r="AR73" s="58"/>
      <c r="AS73" s="58"/>
      <c r="AT73" s="58"/>
      <c r="AU73" s="58"/>
      <c r="AV73" s="58"/>
      <c r="AW73" s="58"/>
      <c r="AX73" s="58"/>
      <c r="AY73" s="58"/>
      <c r="AZ73" s="58"/>
      <c r="BA73" s="58"/>
      <c r="BB73" s="58"/>
      <c r="BC73" s="58"/>
      <c r="BD73" s="58"/>
      <c r="BE73" s="58"/>
      <c r="BF73" s="58"/>
      <c r="BG73" s="58"/>
    </row>
    <row r="74" spans="2:59" ht="12.75">
      <c r="B74" s="58"/>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58"/>
      <c r="AJ74" s="58"/>
      <c r="AK74" s="58"/>
      <c r="AL74" s="66"/>
      <c r="AM74" s="66"/>
      <c r="AN74" s="66"/>
      <c r="AO74" s="58"/>
      <c r="AP74" s="58"/>
      <c r="AQ74" s="58"/>
      <c r="AR74" s="58"/>
      <c r="AS74" s="58"/>
      <c r="AT74" s="58"/>
      <c r="AU74" s="58"/>
      <c r="AV74" s="58"/>
      <c r="AW74" s="58"/>
      <c r="AX74" s="58"/>
      <c r="AY74" s="58"/>
      <c r="AZ74" s="58"/>
      <c r="BA74" s="58"/>
      <c r="BB74" s="58"/>
      <c r="BC74" s="58"/>
      <c r="BD74" s="58"/>
      <c r="BE74" s="58"/>
      <c r="BF74" s="58"/>
      <c r="BG74" s="58"/>
    </row>
    <row r="75" spans="2:59" ht="12.75">
      <c r="B75" s="58"/>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58"/>
      <c r="AJ75" s="58"/>
      <c r="AK75" s="58"/>
      <c r="AL75" s="66"/>
      <c r="AM75" s="66"/>
      <c r="AN75" s="66"/>
      <c r="AO75" s="58"/>
      <c r="AP75" s="58"/>
      <c r="AQ75" s="58"/>
      <c r="AR75" s="58"/>
      <c r="AS75" s="58"/>
      <c r="AT75" s="58"/>
      <c r="AU75" s="58"/>
      <c r="AV75" s="58"/>
      <c r="AW75" s="58"/>
      <c r="AX75" s="58"/>
      <c r="AY75" s="58"/>
      <c r="AZ75" s="58"/>
      <c r="BA75" s="58"/>
      <c r="BB75" s="58"/>
      <c r="BC75" s="58"/>
      <c r="BD75" s="58"/>
      <c r="BE75" s="58"/>
      <c r="BF75" s="58"/>
      <c r="BG75" s="58"/>
    </row>
    <row r="76" spans="2:59" ht="12.75">
      <c r="B76" s="58"/>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58"/>
      <c r="AJ76" s="58"/>
      <c r="AK76" s="58"/>
      <c r="AL76" s="66"/>
      <c r="AM76" s="66"/>
      <c r="AN76" s="66"/>
      <c r="AO76" s="58"/>
      <c r="AP76" s="58"/>
      <c r="AQ76" s="58"/>
      <c r="AR76" s="58"/>
      <c r="AS76" s="58"/>
      <c r="AT76" s="58"/>
      <c r="AU76" s="58"/>
      <c r="AV76" s="58"/>
      <c r="AW76" s="58"/>
      <c r="AX76" s="58"/>
      <c r="AY76" s="58"/>
      <c r="AZ76" s="58"/>
      <c r="BA76" s="58"/>
      <c r="BB76" s="58"/>
      <c r="BC76" s="58"/>
      <c r="BD76" s="58"/>
      <c r="BE76" s="58"/>
      <c r="BF76" s="58"/>
      <c r="BG76" s="58"/>
    </row>
    <row r="77" spans="2:59" ht="12.75">
      <c r="B77" s="58"/>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58"/>
      <c r="AJ77" s="58"/>
      <c r="AK77" s="58"/>
      <c r="AL77" s="66"/>
      <c r="AM77" s="66"/>
      <c r="AN77" s="66"/>
      <c r="AO77" s="58"/>
      <c r="AP77" s="58"/>
      <c r="AQ77" s="58"/>
      <c r="AR77" s="58"/>
      <c r="AS77" s="58"/>
      <c r="AT77" s="58"/>
      <c r="AU77" s="58"/>
      <c r="AV77" s="58"/>
      <c r="AW77" s="58"/>
      <c r="AX77" s="58"/>
      <c r="AY77" s="58"/>
      <c r="AZ77" s="58"/>
      <c r="BA77" s="58"/>
      <c r="BB77" s="58"/>
      <c r="BC77" s="58"/>
      <c r="BD77" s="58"/>
      <c r="BE77" s="58"/>
      <c r="BF77" s="58"/>
      <c r="BG77" s="58"/>
    </row>
    <row r="78" spans="2:59" ht="12.75">
      <c r="B78" s="58"/>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58"/>
      <c r="AJ78" s="58"/>
      <c r="AK78" s="58"/>
      <c r="AL78" s="66"/>
      <c r="AM78" s="66"/>
      <c r="AN78" s="66"/>
      <c r="AO78" s="58"/>
      <c r="AP78" s="58"/>
      <c r="AQ78" s="58"/>
      <c r="AR78" s="58"/>
      <c r="AS78" s="58"/>
      <c r="AT78" s="58"/>
      <c r="AU78" s="58"/>
      <c r="AV78" s="58"/>
      <c r="AW78" s="58"/>
      <c r="AX78" s="58"/>
      <c r="AY78" s="58"/>
      <c r="AZ78" s="58"/>
      <c r="BA78" s="58"/>
      <c r="BB78" s="58"/>
      <c r="BC78" s="58"/>
      <c r="BD78" s="58"/>
      <c r="BE78" s="58"/>
      <c r="BF78" s="58"/>
      <c r="BG78" s="58"/>
    </row>
    <row r="79" spans="2:59" ht="12.75">
      <c r="B79" s="58"/>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58"/>
      <c r="AJ79" s="58"/>
      <c r="AK79" s="58"/>
      <c r="AL79" s="66"/>
      <c r="AM79" s="66"/>
      <c r="AN79" s="66"/>
      <c r="AO79" s="58"/>
      <c r="AP79" s="58"/>
      <c r="AQ79" s="58"/>
      <c r="AR79" s="58"/>
      <c r="AS79" s="58"/>
      <c r="AT79" s="58"/>
      <c r="AU79" s="58"/>
      <c r="AV79" s="58"/>
      <c r="AW79" s="58"/>
      <c r="AX79" s="58"/>
      <c r="AY79" s="58"/>
      <c r="AZ79" s="58"/>
      <c r="BA79" s="58"/>
      <c r="BB79" s="58"/>
      <c r="BC79" s="58"/>
      <c r="BD79" s="58"/>
      <c r="BE79" s="58"/>
      <c r="BF79" s="58"/>
      <c r="BG79" s="58"/>
    </row>
    <row r="80" spans="2:59" ht="12.75">
      <c r="B80" s="58"/>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58"/>
      <c r="AJ80" s="58"/>
      <c r="AK80" s="58"/>
      <c r="AL80" s="66"/>
      <c r="AM80" s="66"/>
      <c r="AN80" s="66"/>
      <c r="AO80" s="58"/>
      <c r="AP80" s="58"/>
      <c r="AQ80" s="58"/>
      <c r="AR80" s="58"/>
      <c r="AS80" s="58"/>
      <c r="AT80" s="58"/>
      <c r="AU80" s="58"/>
      <c r="AV80" s="58"/>
      <c r="AW80" s="58"/>
      <c r="AX80" s="58"/>
      <c r="AY80" s="58"/>
      <c r="AZ80" s="58"/>
      <c r="BA80" s="58"/>
      <c r="BB80" s="58"/>
      <c r="BC80" s="58"/>
      <c r="BD80" s="58"/>
      <c r="BE80" s="58"/>
      <c r="BF80" s="58"/>
      <c r="BG80" s="58"/>
    </row>
    <row r="81" spans="2:59" ht="12.75">
      <c r="B81" s="58"/>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58"/>
      <c r="AJ81" s="58"/>
      <c r="AK81" s="58"/>
      <c r="AL81" s="66"/>
      <c r="AM81" s="66"/>
      <c r="AN81" s="66"/>
      <c r="AO81" s="58"/>
      <c r="AP81" s="58"/>
      <c r="AQ81" s="58"/>
      <c r="AR81" s="58"/>
      <c r="AS81" s="58"/>
      <c r="AT81" s="58"/>
      <c r="AU81" s="58"/>
      <c r="AV81" s="58"/>
      <c r="AW81" s="58"/>
      <c r="AX81" s="58"/>
      <c r="AY81" s="58"/>
      <c r="AZ81" s="58"/>
      <c r="BA81" s="58"/>
      <c r="BB81" s="58"/>
      <c r="BC81" s="58"/>
      <c r="BD81" s="58"/>
      <c r="BE81" s="58"/>
      <c r="BF81" s="58"/>
      <c r="BG81" s="58"/>
    </row>
    <row r="82" spans="2:59" ht="12.75">
      <c r="B82" s="58"/>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58"/>
      <c r="AJ82" s="58"/>
      <c r="AK82" s="58"/>
      <c r="AL82" s="66"/>
      <c r="AM82" s="66"/>
      <c r="AN82" s="66"/>
      <c r="AO82" s="58"/>
      <c r="AP82" s="58"/>
      <c r="AQ82" s="58"/>
      <c r="AR82" s="58"/>
      <c r="AS82" s="58"/>
      <c r="AT82" s="58"/>
      <c r="AU82" s="58"/>
      <c r="AV82" s="58"/>
      <c r="AW82" s="58"/>
      <c r="AX82" s="58"/>
      <c r="AY82" s="58"/>
      <c r="AZ82" s="58"/>
      <c r="BA82" s="58"/>
      <c r="BB82" s="58"/>
      <c r="BC82" s="58"/>
      <c r="BD82" s="58"/>
      <c r="BE82" s="58"/>
      <c r="BF82" s="58"/>
      <c r="BG82" s="58"/>
    </row>
    <row r="83" spans="2:59" ht="12.75">
      <c r="B83" s="58"/>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58"/>
      <c r="AJ83" s="58"/>
      <c r="AK83" s="58"/>
      <c r="AL83" s="66"/>
      <c r="AM83" s="66"/>
      <c r="AN83" s="66"/>
      <c r="AO83" s="58"/>
      <c r="AP83" s="58"/>
      <c r="AQ83" s="58"/>
      <c r="AR83" s="58"/>
      <c r="AS83" s="58"/>
      <c r="AT83" s="58"/>
      <c r="AU83" s="58"/>
      <c r="AV83" s="58"/>
      <c r="AW83" s="58"/>
      <c r="AX83" s="58"/>
      <c r="AY83" s="58"/>
      <c r="AZ83" s="58"/>
      <c r="BA83" s="58"/>
      <c r="BB83" s="58"/>
      <c r="BC83" s="58"/>
      <c r="BD83" s="58"/>
      <c r="BE83" s="58"/>
      <c r="BF83" s="58"/>
      <c r="BG83" s="58"/>
    </row>
    <row r="84" spans="2:59" ht="12.75">
      <c r="B84" s="58"/>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58"/>
      <c r="AJ84" s="58"/>
      <c r="AK84" s="58"/>
      <c r="AL84" s="66"/>
      <c r="AM84" s="66"/>
      <c r="AN84" s="66"/>
      <c r="AO84" s="58"/>
      <c r="AP84" s="58"/>
      <c r="AQ84" s="58"/>
      <c r="AR84" s="58"/>
      <c r="AS84" s="58"/>
      <c r="AT84" s="58"/>
      <c r="AU84" s="58"/>
      <c r="AV84" s="58"/>
      <c r="AW84" s="58"/>
      <c r="AX84" s="58"/>
      <c r="AY84" s="58"/>
      <c r="AZ84" s="58"/>
      <c r="BA84" s="58"/>
      <c r="BB84" s="58"/>
      <c r="BC84" s="58"/>
      <c r="BD84" s="58"/>
      <c r="BE84" s="58"/>
      <c r="BF84" s="58"/>
      <c r="BG84" s="58"/>
    </row>
    <row r="85" spans="2:59" ht="12.75">
      <c r="B85" s="58"/>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58"/>
      <c r="AJ85" s="58"/>
      <c r="AK85" s="58"/>
      <c r="AL85" s="66"/>
      <c r="AM85" s="66"/>
      <c r="AN85" s="66"/>
      <c r="AO85" s="58"/>
      <c r="AP85" s="58"/>
      <c r="AQ85" s="58"/>
      <c r="AR85" s="58"/>
      <c r="AS85" s="58"/>
      <c r="AT85" s="58"/>
      <c r="AU85" s="58"/>
      <c r="AV85" s="58"/>
      <c r="AW85" s="58"/>
      <c r="AX85" s="58"/>
      <c r="AY85" s="58"/>
      <c r="AZ85" s="58"/>
      <c r="BA85" s="58"/>
      <c r="BB85" s="58"/>
      <c r="BC85" s="58"/>
      <c r="BD85" s="58"/>
      <c r="BE85" s="58"/>
      <c r="BF85" s="58"/>
      <c r="BG85" s="58"/>
    </row>
    <row r="86" spans="2:59" ht="12.75">
      <c r="B86" s="58"/>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58"/>
      <c r="AJ86" s="58"/>
      <c r="AK86" s="58"/>
      <c r="AL86" s="66"/>
      <c r="AM86" s="66"/>
      <c r="AN86" s="66"/>
      <c r="AO86" s="58"/>
      <c r="AP86" s="58"/>
      <c r="AQ86" s="58"/>
      <c r="AR86" s="58"/>
      <c r="AS86" s="58"/>
      <c r="AT86" s="58"/>
      <c r="AU86" s="58"/>
      <c r="AV86" s="58"/>
      <c r="AW86" s="58"/>
      <c r="AX86" s="58"/>
      <c r="AY86" s="58"/>
      <c r="AZ86" s="58"/>
      <c r="BA86" s="58"/>
      <c r="BB86" s="58"/>
      <c r="BC86" s="58"/>
      <c r="BD86" s="58"/>
      <c r="BE86" s="58"/>
      <c r="BF86" s="58"/>
      <c r="BG86" s="58"/>
    </row>
    <row r="87" spans="2:59" ht="12.75">
      <c r="B87" s="58"/>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58"/>
      <c r="AJ87" s="58"/>
      <c r="AK87" s="58"/>
      <c r="AL87" s="66"/>
      <c r="AM87" s="66"/>
      <c r="AN87" s="66"/>
      <c r="AO87" s="58"/>
      <c r="AP87" s="58"/>
      <c r="AQ87" s="58"/>
      <c r="AR87" s="58"/>
      <c r="AS87" s="58"/>
      <c r="AT87" s="58"/>
      <c r="AU87" s="58"/>
      <c r="AV87" s="58"/>
      <c r="AW87" s="58"/>
      <c r="AX87" s="58"/>
      <c r="AY87" s="58"/>
      <c r="AZ87" s="58"/>
      <c r="BA87" s="58"/>
      <c r="BB87" s="58"/>
      <c r="BC87" s="58"/>
      <c r="BD87" s="58"/>
      <c r="BE87" s="58"/>
      <c r="BF87" s="58"/>
      <c r="BG87" s="58"/>
    </row>
    <row r="88" spans="2:59" ht="12.75">
      <c r="B88" s="58"/>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58"/>
      <c r="AJ88" s="58"/>
      <c r="AK88" s="58"/>
      <c r="AL88" s="66"/>
      <c r="AM88" s="66"/>
      <c r="AN88" s="66"/>
      <c r="AO88" s="58"/>
      <c r="AP88" s="58"/>
      <c r="AQ88" s="58"/>
      <c r="AR88" s="58"/>
      <c r="AS88" s="58"/>
      <c r="AT88" s="58"/>
      <c r="AU88" s="58"/>
      <c r="AV88" s="58"/>
      <c r="AW88" s="58"/>
      <c r="AX88" s="58"/>
      <c r="AY88" s="58"/>
      <c r="AZ88" s="58"/>
      <c r="BA88" s="58"/>
      <c r="BB88" s="58"/>
      <c r="BC88" s="58"/>
      <c r="BD88" s="58"/>
      <c r="BE88" s="58"/>
      <c r="BF88" s="58"/>
      <c r="BG88" s="58"/>
    </row>
    <row r="89" spans="2:59" ht="12.75">
      <c r="B89" s="58"/>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58"/>
      <c r="AJ89" s="58"/>
      <c r="AK89" s="58"/>
      <c r="AL89" s="66"/>
      <c r="AM89" s="66"/>
      <c r="AN89" s="66"/>
      <c r="AO89" s="58"/>
      <c r="AP89" s="58"/>
      <c r="AQ89" s="58"/>
      <c r="AR89" s="58"/>
      <c r="AS89" s="58"/>
      <c r="AT89" s="58"/>
      <c r="AU89" s="58"/>
      <c r="AV89" s="58"/>
      <c r="AW89" s="58"/>
      <c r="AX89" s="58"/>
      <c r="AY89" s="58"/>
      <c r="AZ89" s="58"/>
      <c r="BA89" s="58"/>
      <c r="BB89" s="58"/>
      <c r="BC89" s="58"/>
      <c r="BD89" s="58"/>
      <c r="BE89" s="58"/>
      <c r="BF89" s="58"/>
      <c r="BG89" s="58"/>
    </row>
    <row r="90" spans="2:59" ht="12.75">
      <c r="B90" s="58"/>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58"/>
      <c r="AJ90" s="58"/>
      <c r="AK90" s="58"/>
      <c r="AL90" s="66"/>
      <c r="AM90" s="66"/>
      <c r="AN90" s="66"/>
      <c r="AO90" s="58"/>
      <c r="AP90" s="58"/>
      <c r="AQ90" s="58"/>
      <c r="AR90" s="58"/>
      <c r="AS90" s="58"/>
      <c r="AT90" s="58"/>
      <c r="AU90" s="58"/>
      <c r="AV90" s="58"/>
      <c r="AW90" s="58"/>
      <c r="AX90" s="58"/>
      <c r="AY90" s="58"/>
      <c r="AZ90" s="58"/>
      <c r="BA90" s="58"/>
      <c r="BB90" s="58"/>
      <c r="BC90" s="58"/>
      <c r="BD90" s="58"/>
      <c r="BE90" s="58"/>
      <c r="BF90" s="58"/>
      <c r="BG90" s="58"/>
    </row>
    <row r="91" spans="2:59" ht="12.75">
      <c r="B91" s="58"/>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58"/>
      <c r="AJ91" s="58"/>
      <c r="AK91" s="58"/>
      <c r="AL91" s="66"/>
      <c r="AM91" s="66"/>
      <c r="AN91" s="66"/>
      <c r="AO91" s="58"/>
      <c r="AP91" s="58"/>
      <c r="AQ91" s="58"/>
      <c r="AR91" s="58"/>
      <c r="AS91" s="58"/>
      <c r="AT91" s="58"/>
      <c r="AU91" s="58"/>
      <c r="AV91" s="58"/>
      <c r="AW91" s="58"/>
      <c r="AX91" s="58"/>
      <c r="AY91" s="58"/>
      <c r="AZ91" s="58"/>
      <c r="BA91" s="58"/>
      <c r="BB91" s="58"/>
      <c r="BC91" s="58"/>
      <c r="BD91" s="58"/>
      <c r="BE91" s="58"/>
      <c r="BF91" s="58"/>
      <c r="BG91" s="58"/>
    </row>
    <row r="92" spans="2:59" ht="12.75">
      <c r="B92" s="58"/>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58"/>
      <c r="AJ92" s="58"/>
      <c r="AK92" s="58"/>
      <c r="AL92" s="66"/>
      <c r="AM92" s="66"/>
      <c r="AN92" s="66"/>
      <c r="AO92" s="58"/>
      <c r="AP92" s="58"/>
      <c r="AQ92" s="58"/>
      <c r="AR92" s="58"/>
      <c r="AS92" s="58"/>
      <c r="AT92" s="58"/>
      <c r="AU92" s="58"/>
      <c r="AV92" s="58"/>
      <c r="AW92" s="58"/>
      <c r="AX92" s="58"/>
      <c r="AY92" s="58"/>
      <c r="AZ92" s="58"/>
      <c r="BA92" s="58"/>
      <c r="BB92" s="58"/>
      <c r="BC92" s="58"/>
      <c r="BD92" s="58"/>
      <c r="BE92" s="58"/>
      <c r="BF92" s="58"/>
      <c r="BG92" s="58"/>
    </row>
    <row r="93" spans="2:59" ht="12.75">
      <c r="B93" s="58"/>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58"/>
      <c r="AJ93" s="58"/>
      <c r="AK93" s="58"/>
      <c r="AL93" s="66"/>
      <c r="AM93" s="66"/>
      <c r="AN93" s="66"/>
      <c r="AO93" s="58"/>
      <c r="AP93" s="58"/>
      <c r="AQ93" s="58"/>
      <c r="AR93" s="58"/>
      <c r="AS93" s="58"/>
      <c r="AT93" s="58"/>
      <c r="AU93" s="58"/>
      <c r="AV93" s="58"/>
      <c r="AW93" s="58"/>
      <c r="AX93" s="58"/>
      <c r="AY93" s="58"/>
      <c r="AZ93" s="58"/>
      <c r="BA93" s="58"/>
      <c r="BB93" s="58"/>
      <c r="BC93" s="58"/>
      <c r="BD93" s="58"/>
      <c r="BE93" s="58"/>
      <c r="BF93" s="58"/>
      <c r="BG93" s="58"/>
    </row>
    <row r="94" spans="2:59" ht="12.75">
      <c r="B94" s="58"/>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58"/>
      <c r="AJ94" s="58"/>
      <c r="AK94" s="58"/>
      <c r="AL94" s="66"/>
      <c r="AM94" s="66"/>
      <c r="AN94" s="66"/>
      <c r="AO94" s="58"/>
      <c r="AP94" s="58"/>
      <c r="AQ94" s="58"/>
      <c r="AR94" s="58"/>
      <c r="AS94" s="58"/>
      <c r="AT94" s="58"/>
      <c r="AU94" s="58"/>
      <c r="AV94" s="58"/>
      <c r="AW94" s="58"/>
      <c r="AX94" s="58"/>
      <c r="AY94" s="58"/>
      <c r="AZ94" s="58"/>
      <c r="BA94" s="58"/>
      <c r="BB94" s="58"/>
      <c r="BC94" s="58"/>
      <c r="BD94" s="58"/>
      <c r="BE94" s="58"/>
      <c r="BF94" s="58"/>
      <c r="BG94" s="58"/>
    </row>
    <row r="95" spans="2:59" ht="12.75">
      <c r="B95" s="58"/>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58"/>
      <c r="AJ95" s="58"/>
      <c r="AK95" s="58"/>
      <c r="AL95" s="66"/>
      <c r="AM95" s="66"/>
      <c r="AN95" s="66"/>
      <c r="AO95" s="58"/>
      <c r="AP95" s="58"/>
      <c r="AQ95" s="58"/>
      <c r="AR95" s="58"/>
      <c r="AS95" s="58"/>
      <c r="AT95" s="58"/>
      <c r="AU95" s="58"/>
      <c r="AV95" s="58"/>
      <c r="AW95" s="58"/>
      <c r="AX95" s="58"/>
      <c r="AY95" s="58"/>
      <c r="AZ95" s="58"/>
      <c r="BA95" s="58"/>
      <c r="BB95" s="58"/>
      <c r="BC95" s="58"/>
      <c r="BD95" s="58"/>
      <c r="BE95" s="58"/>
      <c r="BF95" s="58"/>
      <c r="BG95" s="58"/>
    </row>
    <row r="96" spans="2:59" ht="12.75">
      <c r="B96" s="58"/>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58"/>
      <c r="AJ96" s="58"/>
      <c r="AK96" s="58"/>
      <c r="AL96" s="66"/>
      <c r="AM96" s="66"/>
      <c r="AN96" s="66"/>
      <c r="AO96" s="58"/>
      <c r="AP96" s="58"/>
      <c r="AQ96" s="58"/>
      <c r="AR96" s="58"/>
      <c r="AS96" s="58"/>
      <c r="AT96" s="58"/>
      <c r="AU96" s="58"/>
      <c r="AV96" s="58"/>
      <c r="AW96" s="58"/>
      <c r="AX96" s="58"/>
      <c r="AY96" s="58"/>
      <c r="AZ96" s="58"/>
      <c r="BA96" s="58"/>
      <c r="BB96" s="58"/>
      <c r="BC96" s="58"/>
      <c r="BD96" s="58"/>
      <c r="BE96" s="58"/>
      <c r="BF96" s="58"/>
      <c r="BG96" s="58"/>
    </row>
    <row r="97" spans="2:59" ht="12.75">
      <c r="B97" s="58"/>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58"/>
      <c r="AJ97" s="58"/>
      <c r="AK97" s="58"/>
      <c r="AL97" s="66"/>
      <c r="AM97" s="66"/>
      <c r="AN97" s="66"/>
      <c r="AO97" s="58"/>
      <c r="AP97" s="58"/>
      <c r="AQ97" s="58"/>
      <c r="AR97" s="58"/>
      <c r="AS97" s="58"/>
      <c r="AT97" s="58"/>
      <c r="AU97" s="58"/>
      <c r="AV97" s="58"/>
      <c r="AW97" s="58"/>
      <c r="AX97" s="58"/>
      <c r="AY97" s="58"/>
      <c r="AZ97" s="58"/>
      <c r="BA97" s="58"/>
      <c r="BB97" s="58"/>
      <c r="BC97" s="58"/>
      <c r="BD97" s="58"/>
      <c r="BE97" s="58"/>
      <c r="BF97" s="58"/>
      <c r="BG97" s="58"/>
    </row>
    <row r="98" spans="2:59" ht="12.75">
      <c r="B98" s="58"/>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58"/>
      <c r="AJ98" s="58"/>
      <c r="AK98" s="58"/>
      <c r="AL98" s="66"/>
      <c r="AM98" s="66"/>
      <c r="AN98" s="66"/>
      <c r="AO98" s="58"/>
      <c r="AP98" s="58"/>
      <c r="AQ98" s="58"/>
      <c r="AR98" s="58"/>
      <c r="AS98" s="58"/>
      <c r="AT98" s="58"/>
      <c r="AU98" s="58"/>
      <c r="AV98" s="58"/>
      <c r="AW98" s="58"/>
      <c r="AX98" s="58"/>
      <c r="AY98" s="58"/>
      <c r="AZ98" s="58"/>
      <c r="BA98" s="58"/>
      <c r="BB98" s="58"/>
      <c r="BC98" s="58"/>
      <c r="BD98" s="58"/>
      <c r="BE98" s="58"/>
      <c r="BF98" s="58"/>
      <c r="BG98" s="58"/>
    </row>
    <row r="99" spans="2:59" ht="12.75">
      <c r="B99" s="58"/>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58"/>
      <c r="AJ99" s="58"/>
      <c r="AK99" s="58"/>
      <c r="AL99" s="66"/>
      <c r="AM99" s="66"/>
      <c r="AN99" s="66"/>
      <c r="AO99" s="58"/>
      <c r="AP99" s="58"/>
      <c r="AQ99" s="58"/>
      <c r="AR99" s="58"/>
      <c r="AS99" s="58"/>
      <c r="AT99" s="58"/>
      <c r="AU99" s="58"/>
      <c r="AV99" s="58"/>
      <c r="AW99" s="58"/>
      <c r="AX99" s="58"/>
      <c r="AY99" s="58"/>
      <c r="AZ99" s="58"/>
      <c r="BA99" s="58"/>
      <c r="BB99" s="58"/>
      <c r="BC99" s="58"/>
      <c r="BD99" s="58"/>
      <c r="BE99" s="58"/>
      <c r="BF99" s="58"/>
      <c r="BG99" s="58"/>
    </row>
    <row r="100" spans="2:59" ht="12.75">
      <c r="B100" s="58"/>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58"/>
      <c r="AJ100" s="58"/>
      <c r="AK100" s="58"/>
      <c r="AL100" s="66"/>
      <c r="AM100" s="66"/>
      <c r="AN100" s="66"/>
      <c r="AO100" s="58"/>
      <c r="AP100" s="58"/>
      <c r="AQ100" s="58"/>
      <c r="AR100" s="58"/>
      <c r="AS100" s="58"/>
      <c r="AT100" s="58"/>
      <c r="AU100" s="58"/>
      <c r="AV100" s="58"/>
      <c r="AW100" s="58"/>
      <c r="AX100" s="58"/>
      <c r="AY100" s="58"/>
      <c r="AZ100" s="58"/>
      <c r="BA100" s="58"/>
      <c r="BB100" s="58"/>
      <c r="BC100" s="58"/>
      <c r="BD100" s="58"/>
      <c r="BE100" s="58"/>
      <c r="BF100" s="58"/>
      <c r="BG100" s="58"/>
    </row>
    <row r="101" spans="2:59" ht="12.75">
      <c r="B101" s="58"/>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58"/>
      <c r="AJ101" s="58"/>
      <c r="AK101" s="58"/>
      <c r="AL101" s="66"/>
      <c r="AM101" s="66"/>
      <c r="AN101" s="66"/>
      <c r="AO101" s="58"/>
      <c r="AP101" s="58"/>
      <c r="AQ101" s="58"/>
      <c r="AR101" s="58"/>
      <c r="AS101" s="58"/>
      <c r="AT101" s="58"/>
      <c r="AU101" s="58"/>
      <c r="AV101" s="58"/>
      <c r="AW101" s="58"/>
      <c r="AX101" s="58"/>
      <c r="AY101" s="58"/>
      <c r="AZ101" s="58"/>
      <c r="BA101" s="58"/>
      <c r="BB101" s="58"/>
      <c r="BC101" s="58"/>
      <c r="BD101" s="58"/>
      <c r="BE101" s="58"/>
      <c r="BF101" s="58"/>
      <c r="BG101" s="58"/>
    </row>
    <row r="102" spans="2:59" ht="12.75">
      <c r="B102" s="58"/>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58"/>
      <c r="AJ102" s="58"/>
      <c r="AK102" s="58"/>
      <c r="AL102" s="66"/>
      <c r="AM102" s="66"/>
      <c r="AN102" s="66"/>
      <c r="AO102" s="58"/>
      <c r="AP102" s="58"/>
      <c r="AQ102" s="58"/>
      <c r="AR102" s="58"/>
      <c r="AS102" s="58"/>
      <c r="AT102" s="58"/>
      <c r="AU102" s="58"/>
      <c r="AV102" s="58"/>
      <c r="AW102" s="58"/>
      <c r="AX102" s="58"/>
      <c r="AY102" s="58"/>
      <c r="AZ102" s="58"/>
      <c r="BA102" s="58"/>
      <c r="BB102" s="58"/>
      <c r="BC102" s="58"/>
      <c r="BD102" s="58"/>
      <c r="BE102" s="58"/>
      <c r="BF102" s="58"/>
      <c r="BG102" s="58"/>
    </row>
    <row r="103" spans="2:59" ht="12.75">
      <c r="B103" s="58"/>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58"/>
      <c r="AJ103" s="58"/>
      <c r="AK103" s="58"/>
      <c r="AL103" s="66"/>
      <c r="AM103" s="66"/>
      <c r="AN103" s="66"/>
      <c r="AO103" s="58"/>
      <c r="AP103" s="58"/>
      <c r="AQ103" s="58"/>
      <c r="AR103" s="58"/>
      <c r="AS103" s="58"/>
      <c r="AT103" s="58"/>
      <c r="AU103" s="58"/>
      <c r="AV103" s="58"/>
      <c r="AW103" s="58"/>
      <c r="AX103" s="58"/>
      <c r="AY103" s="58"/>
      <c r="AZ103" s="58"/>
      <c r="BA103" s="58"/>
      <c r="BB103" s="58"/>
      <c r="BC103" s="58"/>
      <c r="BD103" s="58"/>
      <c r="BE103" s="58"/>
      <c r="BF103" s="58"/>
      <c r="BG103" s="58"/>
    </row>
    <row r="104" spans="2:59" ht="12.75">
      <c r="B104" s="58"/>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58"/>
      <c r="AJ104" s="58"/>
      <c r="AK104" s="58"/>
      <c r="AL104" s="66"/>
      <c r="AM104" s="66"/>
      <c r="AN104" s="66"/>
      <c r="AO104" s="58"/>
      <c r="AP104" s="58"/>
      <c r="AQ104" s="58"/>
      <c r="AR104" s="58"/>
      <c r="AS104" s="58"/>
      <c r="AT104" s="58"/>
      <c r="AU104" s="58"/>
      <c r="AV104" s="58"/>
      <c r="AW104" s="58"/>
      <c r="AX104" s="58"/>
      <c r="AY104" s="58"/>
      <c r="AZ104" s="58"/>
      <c r="BA104" s="58"/>
      <c r="BB104" s="58"/>
      <c r="BC104" s="58"/>
      <c r="BD104" s="58"/>
      <c r="BE104" s="58"/>
      <c r="BF104" s="58"/>
      <c r="BG104" s="58"/>
    </row>
    <row r="105" spans="2:59" ht="12.75">
      <c r="B105" s="58"/>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58"/>
      <c r="AJ105" s="58"/>
      <c r="AK105" s="58"/>
      <c r="AL105" s="66"/>
      <c r="AM105" s="66"/>
      <c r="AN105" s="66"/>
      <c r="AO105" s="58"/>
      <c r="AP105" s="58"/>
      <c r="AQ105" s="58"/>
      <c r="AR105" s="58"/>
      <c r="AS105" s="58"/>
      <c r="AT105" s="58"/>
      <c r="AU105" s="58"/>
      <c r="AV105" s="58"/>
      <c r="AW105" s="58"/>
      <c r="AX105" s="58"/>
      <c r="AY105" s="58"/>
      <c r="AZ105" s="58"/>
      <c r="BA105" s="58"/>
      <c r="BB105" s="58"/>
      <c r="BC105" s="58"/>
      <c r="BD105" s="58"/>
      <c r="BE105" s="58"/>
      <c r="BF105" s="58"/>
      <c r="BG105" s="58"/>
    </row>
    <row r="106" spans="2:59" ht="12.75">
      <c r="B106" s="58"/>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58"/>
      <c r="AJ106" s="58"/>
      <c r="AK106" s="58"/>
      <c r="AL106" s="66"/>
      <c r="AM106" s="66"/>
      <c r="AN106" s="66"/>
      <c r="AO106" s="58"/>
      <c r="AP106" s="58"/>
      <c r="AQ106" s="58"/>
      <c r="AR106" s="58"/>
      <c r="AS106" s="58"/>
      <c r="AT106" s="58"/>
      <c r="AU106" s="58"/>
      <c r="AV106" s="58"/>
      <c r="AW106" s="58"/>
      <c r="AX106" s="58"/>
      <c r="AY106" s="58"/>
      <c r="AZ106" s="58"/>
      <c r="BA106" s="58"/>
      <c r="BB106" s="58"/>
      <c r="BC106" s="58"/>
      <c r="BD106" s="58"/>
      <c r="BE106" s="58"/>
      <c r="BF106" s="58"/>
      <c r="BG106" s="58"/>
    </row>
    <row r="107" spans="2:59" ht="12.75">
      <c r="B107" s="58"/>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58"/>
      <c r="AJ107" s="58"/>
      <c r="AK107" s="58"/>
      <c r="AL107" s="66"/>
      <c r="AM107" s="66"/>
      <c r="AN107" s="66"/>
      <c r="AO107" s="58"/>
      <c r="AP107" s="58"/>
      <c r="AQ107" s="58"/>
      <c r="AR107" s="58"/>
      <c r="AS107" s="58"/>
      <c r="AT107" s="58"/>
      <c r="AU107" s="58"/>
      <c r="AV107" s="58"/>
      <c r="AW107" s="58"/>
      <c r="AX107" s="58"/>
      <c r="AY107" s="58"/>
      <c r="AZ107" s="58"/>
      <c r="BA107" s="58"/>
      <c r="BB107" s="58"/>
      <c r="BC107" s="58"/>
      <c r="BD107" s="58"/>
      <c r="BE107" s="58"/>
      <c r="BF107" s="58"/>
      <c r="BG107" s="58"/>
    </row>
    <row r="108" spans="2:59" ht="12.75">
      <c r="B108" s="58"/>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58"/>
      <c r="AJ108" s="58"/>
      <c r="AK108" s="58"/>
      <c r="AL108" s="66"/>
      <c r="AM108" s="66"/>
      <c r="AN108" s="66"/>
      <c r="AO108" s="58"/>
      <c r="AP108" s="58"/>
      <c r="AQ108" s="58"/>
      <c r="AR108" s="58"/>
      <c r="AS108" s="58"/>
      <c r="AT108" s="58"/>
      <c r="AU108" s="58"/>
      <c r="AV108" s="58"/>
      <c r="AW108" s="58"/>
      <c r="AX108" s="58"/>
      <c r="AY108" s="58"/>
      <c r="AZ108" s="58"/>
      <c r="BA108" s="58"/>
      <c r="BB108" s="58"/>
      <c r="BC108" s="58"/>
      <c r="BD108" s="58"/>
      <c r="BE108" s="58"/>
      <c r="BF108" s="58"/>
      <c r="BG108" s="58"/>
    </row>
    <row r="109" spans="2:59" ht="12.75">
      <c r="B109" s="58"/>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58"/>
      <c r="AJ109" s="58"/>
      <c r="AK109" s="58"/>
      <c r="AL109" s="66"/>
      <c r="AM109" s="66"/>
      <c r="AN109" s="66"/>
      <c r="AO109" s="58"/>
      <c r="AP109" s="58"/>
      <c r="AQ109" s="58"/>
      <c r="AR109" s="58"/>
      <c r="AS109" s="58"/>
      <c r="AT109" s="58"/>
      <c r="AU109" s="58"/>
      <c r="AV109" s="58"/>
      <c r="AW109" s="58"/>
      <c r="AX109" s="58"/>
      <c r="AY109" s="58"/>
      <c r="AZ109" s="58"/>
      <c r="BA109" s="58"/>
      <c r="BB109" s="58"/>
      <c r="BC109" s="58"/>
      <c r="BD109" s="58"/>
      <c r="BE109" s="58"/>
      <c r="BF109" s="58"/>
      <c r="BG109" s="58"/>
    </row>
    <row r="110" spans="2:59" ht="12.75">
      <c r="B110" s="58"/>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58"/>
      <c r="AJ110" s="58"/>
      <c r="AK110" s="58"/>
      <c r="AL110" s="66"/>
      <c r="AM110" s="66"/>
      <c r="AN110" s="66"/>
      <c r="AO110" s="58"/>
      <c r="AP110" s="58"/>
      <c r="AQ110" s="58"/>
      <c r="AR110" s="58"/>
      <c r="AS110" s="58"/>
      <c r="AT110" s="58"/>
      <c r="AU110" s="58"/>
      <c r="AV110" s="58"/>
      <c r="AW110" s="58"/>
      <c r="AX110" s="58"/>
      <c r="AY110" s="58"/>
      <c r="AZ110" s="58"/>
      <c r="BA110" s="58"/>
      <c r="BB110" s="58"/>
      <c r="BC110" s="58"/>
      <c r="BD110" s="58"/>
      <c r="BE110" s="58"/>
      <c r="BF110" s="58"/>
      <c r="BG110" s="58"/>
    </row>
    <row r="111" spans="2:59" ht="12.75">
      <c r="B111" s="58"/>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58"/>
      <c r="AJ111" s="58"/>
      <c r="AK111" s="58"/>
      <c r="AL111" s="66"/>
      <c r="AM111" s="66"/>
      <c r="AN111" s="66"/>
      <c r="AO111" s="58"/>
      <c r="AP111" s="58"/>
      <c r="AQ111" s="58"/>
      <c r="AR111" s="58"/>
      <c r="AS111" s="58"/>
      <c r="AT111" s="58"/>
      <c r="AU111" s="58"/>
      <c r="AV111" s="58"/>
      <c r="AW111" s="58"/>
      <c r="AX111" s="58"/>
      <c r="AY111" s="58"/>
      <c r="AZ111" s="58"/>
      <c r="BA111" s="58"/>
      <c r="BB111" s="58"/>
      <c r="BC111" s="58"/>
      <c r="BD111" s="58"/>
      <c r="BE111" s="58"/>
      <c r="BF111" s="58"/>
      <c r="BG111" s="58"/>
    </row>
    <row r="112" spans="2:59" ht="12.75">
      <c r="B112" s="58"/>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58"/>
      <c r="AJ112" s="58"/>
      <c r="AK112" s="58"/>
      <c r="AL112" s="66"/>
      <c r="AM112" s="66"/>
      <c r="AN112" s="66"/>
      <c r="AO112" s="58"/>
      <c r="AP112" s="58"/>
      <c r="AQ112" s="58"/>
      <c r="AR112" s="58"/>
      <c r="AS112" s="58"/>
      <c r="AT112" s="58"/>
      <c r="AU112" s="58"/>
      <c r="AV112" s="58"/>
      <c r="AW112" s="58"/>
      <c r="AX112" s="58"/>
      <c r="AY112" s="58"/>
      <c r="AZ112" s="58"/>
      <c r="BA112" s="58"/>
      <c r="BB112" s="58"/>
      <c r="BC112" s="58"/>
      <c r="BD112" s="58"/>
      <c r="BE112" s="58"/>
      <c r="BF112" s="58"/>
      <c r="BG112" s="58"/>
    </row>
    <row r="113" spans="2:59" ht="12.75">
      <c r="B113" s="58"/>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58"/>
      <c r="AJ113" s="58"/>
      <c r="AK113" s="58"/>
      <c r="AL113" s="66"/>
      <c r="AM113" s="66"/>
      <c r="AN113" s="66"/>
      <c r="AO113" s="58"/>
      <c r="AP113" s="58"/>
      <c r="AQ113" s="58"/>
      <c r="AR113" s="58"/>
      <c r="AS113" s="58"/>
      <c r="AT113" s="58"/>
      <c r="AU113" s="58"/>
      <c r="AV113" s="58"/>
      <c r="AW113" s="58"/>
      <c r="AX113" s="58"/>
      <c r="AY113" s="58"/>
      <c r="AZ113" s="58"/>
      <c r="BA113" s="58"/>
      <c r="BB113" s="58"/>
      <c r="BC113" s="58"/>
      <c r="BD113" s="58"/>
      <c r="BE113" s="58"/>
      <c r="BF113" s="58"/>
      <c r="BG113" s="58"/>
    </row>
    <row r="114" spans="2:59" ht="12.75">
      <c r="B114" s="58"/>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58"/>
      <c r="AJ114" s="58"/>
      <c r="AK114" s="58"/>
      <c r="AL114" s="66"/>
      <c r="AM114" s="66"/>
      <c r="AN114" s="66"/>
      <c r="AO114" s="58"/>
      <c r="AP114" s="58"/>
      <c r="AQ114" s="58"/>
      <c r="AR114" s="58"/>
      <c r="AS114" s="58"/>
      <c r="AT114" s="58"/>
      <c r="AU114" s="58"/>
      <c r="AV114" s="58"/>
      <c r="AW114" s="58"/>
      <c r="AX114" s="58"/>
      <c r="AY114" s="58"/>
      <c r="AZ114" s="58"/>
      <c r="BA114" s="58"/>
      <c r="BB114" s="58"/>
      <c r="BC114" s="58"/>
      <c r="BD114" s="58"/>
      <c r="BE114" s="58"/>
      <c r="BF114" s="58"/>
      <c r="BG114" s="58"/>
    </row>
    <row r="115" spans="2:59" ht="12.75">
      <c r="B115" s="58"/>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58"/>
      <c r="AJ115" s="58"/>
      <c r="AK115" s="58"/>
      <c r="AL115" s="66"/>
      <c r="AM115" s="66"/>
      <c r="AN115" s="66"/>
      <c r="AO115" s="58"/>
      <c r="AP115" s="58"/>
      <c r="AQ115" s="58"/>
      <c r="AR115" s="58"/>
      <c r="AS115" s="58"/>
      <c r="AT115" s="58"/>
      <c r="AU115" s="58"/>
      <c r="AV115" s="58"/>
      <c r="AW115" s="58"/>
      <c r="AX115" s="58"/>
      <c r="AY115" s="58"/>
      <c r="AZ115" s="58"/>
      <c r="BA115" s="58"/>
      <c r="BB115" s="58"/>
      <c r="BC115" s="58"/>
      <c r="BD115" s="58"/>
      <c r="BE115" s="58"/>
      <c r="BF115" s="58"/>
      <c r="BG115" s="58"/>
    </row>
    <row r="116" spans="2:59" ht="12.75">
      <c r="B116" s="58"/>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58"/>
      <c r="AJ116" s="58"/>
      <c r="AK116" s="58"/>
      <c r="AL116" s="66"/>
      <c r="AM116" s="66"/>
      <c r="AN116" s="66"/>
      <c r="AO116" s="58"/>
      <c r="AP116" s="58"/>
      <c r="AQ116" s="58"/>
      <c r="AR116" s="58"/>
      <c r="AS116" s="58"/>
      <c r="AT116" s="58"/>
      <c r="AU116" s="58"/>
      <c r="AV116" s="58"/>
      <c r="AW116" s="58"/>
      <c r="AX116" s="58"/>
      <c r="AY116" s="58"/>
      <c r="AZ116" s="58"/>
      <c r="BA116" s="58"/>
      <c r="BB116" s="58"/>
      <c r="BC116" s="58"/>
      <c r="BD116" s="58"/>
      <c r="BE116" s="58"/>
      <c r="BF116" s="58"/>
      <c r="BG116" s="58"/>
    </row>
    <row r="117" spans="2:59" ht="12.75">
      <c r="B117" s="58"/>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58"/>
      <c r="AJ117" s="58"/>
      <c r="AK117" s="58"/>
      <c r="AL117" s="66"/>
      <c r="AM117" s="66"/>
      <c r="AN117" s="66"/>
      <c r="AO117" s="58"/>
      <c r="AP117" s="58"/>
      <c r="AQ117" s="58"/>
      <c r="AR117" s="58"/>
      <c r="AS117" s="58"/>
      <c r="AT117" s="58"/>
      <c r="AU117" s="58"/>
      <c r="AV117" s="58"/>
      <c r="AW117" s="58"/>
      <c r="AX117" s="58"/>
      <c r="AY117" s="58"/>
      <c r="AZ117" s="58"/>
      <c r="BA117" s="58"/>
      <c r="BB117" s="58"/>
      <c r="BC117" s="58"/>
      <c r="BD117" s="58"/>
      <c r="BE117" s="58"/>
      <c r="BF117" s="58"/>
      <c r="BG117" s="58"/>
    </row>
    <row r="118" spans="2:59" ht="12.75">
      <c r="B118" s="58"/>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58"/>
      <c r="AJ118" s="58"/>
      <c r="AK118" s="58"/>
      <c r="AL118" s="66"/>
      <c r="AM118" s="66"/>
      <c r="AN118" s="66"/>
      <c r="AO118" s="58"/>
      <c r="AP118" s="58"/>
      <c r="AQ118" s="58"/>
      <c r="AR118" s="58"/>
      <c r="AS118" s="58"/>
      <c r="AT118" s="58"/>
      <c r="AU118" s="58"/>
      <c r="AV118" s="58"/>
      <c r="AW118" s="58"/>
      <c r="AX118" s="58"/>
      <c r="AY118" s="58"/>
      <c r="AZ118" s="58"/>
      <c r="BA118" s="58"/>
      <c r="BB118" s="58"/>
      <c r="BC118" s="58"/>
      <c r="BD118" s="58"/>
      <c r="BE118" s="58"/>
      <c r="BF118" s="58"/>
      <c r="BG118" s="58"/>
    </row>
    <row r="119" spans="2:59" ht="12.75">
      <c r="B119" s="58"/>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58"/>
      <c r="AJ119" s="58"/>
      <c r="AK119" s="58"/>
      <c r="AL119" s="66"/>
      <c r="AM119" s="66"/>
      <c r="AN119" s="66"/>
      <c r="AO119" s="58"/>
      <c r="AP119" s="58"/>
      <c r="AQ119" s="58"/>
      <c r="AR119" s="58"/>
      <c r="AS119" s="58"/>
      <c r="AT119" s="58"/>
      <c r="AU119" s="58"/>
      <c r="AV119" s="58"/>
      <c r="AW119" s="58"/>
      <c r="AX119" s="58"/>
      <c r="AY119" s="58"/>
      <c r="AZ119" s="58"/>
      <c r="BA119" s="58"/>
      <c r="BB119" s="58"/>
      <c r="BC119" s="58"/>
      <c r="BD119" s="58"/>
      <c r="BE119" s="58"/>
      <c r="BF119" s="58"/>
      <c r="BG119" s="58"/>
    </row>
    <row r="120" spans="2:44" ht="12.75">
      <c r="B120" s="58"/>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58"/>
      <c r="AJ120" s="58"/>
      <c r="AK120" s="58"/>
      <c r="AL120" s="66"/>
      <c r="AM120" s="66"/>
      <c r="AN120" s="66"/>
      <c r="AO120" s="58"/>
      <c r="AP120" s="58"/>
      <c r="AQ120" s="58"/>
      <c r="AR120" s="58"/>
    </row>
    <row r="121" spans="2:44" ht="12.75">
      <c r="B121" s="58"/>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58"/>
      <c r="AJ121" s="58"/>
      <c r="AK121" s="58"/>
      <c r="AL121" s="66"/>
      <c r="AM121" s="66"/>
      <c r="AN121" s="66"/>
      <c r="AO121" s="58"/>
      <c r="AP121" s="58"/>
      <c r="AQ121" s="58"/>
      <c r="AR121" s="58"/>
    </row>
    <row r="122" spans="2:44" ht="12.75">
      <c r="B122" s="58"/>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58"/>
      <c r="AJ122" s="58"/>
      <c r="AK122" s="58"/>
      <c r="AL122" s="66"/>
      <c r="AM122" s="66"/>
      <c r="AN122" s="66"/>
      <c r="AO122" s="58"/>
      <c r="AP122" s="58"/>
      <c r="AQ122" s="58"/>
      <c r="AR122" s="58"/>
    </row>
    <row r="123" spans="2:44" ht="12.75">
      <c r="B123" s="58"/>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58"/>
      <c r="AJ123" s="58"/>
      <c r="AK123" s="58"/>
      <c r="AL123" s="66"/>
      <c r="AM123" s="66"/>
      <c r="AN123" s="66"/>
      <c r="AO123" s="58"/>
      <c r="AP123" s="58"/>
      <c r="AQ123" s="58"/>
      <c r="AR123" s="58"/>
    </row>
    <row r="124" spans="2:44" ht="12.75">
      <c r="B124" s="58"/>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58"/>
      <c r="AJ124" s="58"/>
      <c r="AK124" s="58"/>
      <c r="AL124" s="66"/>
      <c r="AM124" s="66"/>
      <c r="AN124" s="66"/>
      <c r="AO124" s="58"/>
      <c r="AP124" s="58"/>
      <c r="AQ124" s="58"/>
      <c r="AR124" s="58"/>
    </row>
    <row r="125" spans="2:44" ht="12.75">
      <c r="B125" s="58"/>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58"/>
      <c r="AJ125" s="58"/>
      <c r="AK125" s="58"/>
      <c r="AL125" s="66"/>
      <c r="AM125" s="66"/>
      <c r="AN125" s="66"/>
      <c r="AO125" s="58"/>
      <c r="AP125" s="58"/>
      <c r="AQ125" s="58"/>
      <c r="AR125" s="58"/>
    </row>
    <row r="126" spans="2:44" ht="12.75">
      <c r="B126" s="58"/>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58"/>
      <c r="AJ126" s="58"/>
      <c r="AK126" s="58"/>
      <c r="AL126" s="66"/>
      <c r="AM126" s="66"/>
      <c r="AN126" s="66"/>
      <c r="AO126" s="58"/>
      <c r="AP126" s="58"/>
      <c r="AQ126" s="58"/>
      <c r="AR126" s="58"/>
    </row>
    <row r="127" spans="2:44" ht="12.75">
      <c r="B127" s="58"/>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58"/>
      <c r="AJ127" s="58"/>
      <c r="AK127" s="58"/>
      <c r="AL127" s="66"/>
      <c r="AM127" s="66"/>
      <c r="AN127" s="66"/>
      <c r="AO127" s="58"/>
      <c r="AP127" s="58"/>
      <c r="AQ127" s="58"/>
      <c r="AR127" s="58"/>
    </row>
    <row r="128" spans="2:44" ht="12.75">
      <c r="B128" s="58"/>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58"/>
      <c r="AJ128" s="58"/>
      <c r="AK128" s="58"/>
      <c r="AL128" s="66"/>
      <c r="AM128" s="66"/>
      <c r="AN128" s="66"/>
      <c r="AO128" s="58"/>
      <c r="AP128" s="58"/>
      <c r="AQ128" s="58"/>
      <c r="AR128" s="58"/>
    </row>
    <row r="129" spans="2:44" ht="12.75">
      <c r="B129" s="58"/>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58"/>
      <c r="AJ129" s="58"/>
      <c r="AK129" s="58"/>
      <c r="AL129" s="66"/>
      <c r="AM129" s="66"/>
      <c r="AN129" s="66"/>
      <c r="AO129" s="58"/>
      <c r="AP129" s="58"/>
      <c r="AQ129" s="58"/>
      <c r="AR129" s="58"/>
    </row>
    <row r="130" spans="2:44" ht="12.75">
      <c r="B130" s="58"/>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58"/>
      <c r="AJ130" s="58"/>
      <c r="AK130" s="58"/>
      <c r="AL130" s="66"/>
      <c r="AM130" s="66"/>
      <c r="AN130" s="66"/>
      <c r="AO130" s="58"/>
      <c r="AP130" s="58"/>
      <c r="AQ130" s="58"/>
      <c r="AR130" s="58"/>
    </row>
    <row r="131" spans="2:44" ht="12.75">
      <c r="B131" s="58"/>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58"/>
      <c r="AJ131" s="58"/>
      <c r="AK131" s="58"/>
      <c r="AL131" s="66"/>
      <c r="AM131" s="66"/>
      <c r="AN131" s="66"/>
      <c r="AO131" s="58"/>
      <c r="AP131" s="58"/>
      <c r="AQ131" s="58"/>
      <c r="AR131" s="58"/>
    </row>
    <row r="132" spans="2:44" ht="12.75">
      <c r="B132" s="58"/>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58"/>
      <c r="AJ132" s="58"/>
      <c r="AK132" s="58"/>
      <c r="AL132" s="66"/>
      <c r="AM132" s="66"/>
      <c r="AN132" s="66"/>
      <c r="AO132" s="58"/>
      <c r="AP132" s="58"/>
      <c r="AQ132" s="58"/>
      <c r="AR132" s="58"/>
    </row>
    <row r="133" spans="2:44" ht="12.75">
      <c r="B133" s="58"/>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58"/>
      <c r="AJ133" s="58"/>
      <c r="AK133" s="58"/>
      <c r="AL133" s="66"/>
      <c r="AM133" s="66"/>
      <c r="AN133" s="66"/>
      <c r="AO133" s="58"/>
      <c r="AP133" s="58"/>
      <c r="AQ133" s="58"/>
      <c r="AR133" s="58"/>
    </row>
    <row r="134" spans="2:44" ht="12.75">
      <c r="B134" s="58"/>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58"/>
      <c r="AJ134" s="58"/>
      <c r="AK134" s="58"/>
      <c r="AL134" s="66"/>
      <c r="AM134" s="66"/>
      <c r="AN134" s="66"/>
      <c r="AO134" s="58"/>
      <c r="AP134" s="58"/>
      <c r="AQ134" s="58"/>
      <c r="AR134" s="58"/>
    </row>
    <row r="135" spans="2:44" ht="12.75">
      <c r="B135" s="58"/>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58"/>
      <c r="AJ135" s="58"/>
      <c r="AK135" s="58"/>
      <c r="AL135" s="66"/>
      <c r="AM135" s="66"/>
      <c r="AN135" s="66"/>
      <c r="AO135" s="58"/>
      <c r="AP135" s="58"/>
      <c r="AQ135" s="58"/>
      <c r="AR135" s="58"/>
    </row>
    <row r="136" spans="2:44" ht="12.75">
      <c r="B136" s="58"/>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58"/>
      <c r="AJ136" s="58"/>
      <c r="AK136" s="58"/>
      <c r="AL136" s="66"/>
      <c r="AM136" s="66"/>
      <c r="AN136" s="66"/>
      <c r="AO136" s="58"/>
      <c r="AP136" s="58"/>
      <c r="AQ136" s="58"/>
      <c r="AR136" s="58"/>
    </row>
    <row r="137" spans="2:44" ht="12.75">
      <c r="B137" s="58"/>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58"/>
      <c r="AJ137" s="58"/>
      <c r="AK137" s="58"/>
      <c r="AL137" s="66"/>
      <c r="AM137" s="66"/>
      <c r="AN137" s="66"/>
      <c r="AO137" s="58"/>
      <c r="AP137" s="58"/>
      <c r="AQ137" s="58"/>
      <c r="AR137" s="58"/>
    </row>
    <row r="138" spans="2:44" ht="12.75">
      <c r="B138" s="58"/>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58"/>
      <c r="AJ138" s="58"/>
      <c r="AK138" s="58"/>
      <c r="AL138" s="66"/>
      <c r="AM138" s="66"/>
      <c r="AN138" s="66"/>
      <c r="AO138" s="58"/>
      <c r="AP138" s="58"/>
      <c r="AQ138" s="58"/>
      <c r="AR138" s="58"/>
    </row>
    <row r="139" spans="2:44" ht="12.75">
      <c r="B139" s="58"/>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58"/>
      <c r="AJ139" s="58"/>
      <c r="AK139" s="58"/>
      <c r="AL139" s="66"/>
      <c r="AM139" s="66"/>
      <c r="AN139" s="66"/>
      <c r="AO139" s="58"/>
      <c r="AP139" s="58"/>
      <c r="AQ139" s="58"/>
      <c r="AR139" s="58"/>
    </row>
    <row r="140" spans="2:44" ht="12.75">
      <c r="B140" s="58"/>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58"/>
      <c r="AJ140" s="58"/>
      <c r="AK140" s="58"/>
      <c r="AL140" s="66"/>
      <c r="AM140" s="66"/>
      <c r="AN140" s="66"/>
      <c r="AO140" s="58"/>
      <c r="AP140" s="58"/>
      <c r="AQ140" s="58"/>
      <c r="AR140" s="58"/>
    </row>
    <row r="141" spans="2:44" ht="12.75">
      <c r="B141" s="58"/>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58"/>
      <c r="AJ141" s="58"/>
      <c r="AK141" s="58"/>
      <c r="AL141" s="66"/>
      <c r="AM141" s="66"/>
      <c r="AN141" s="66"/>
      <c r="AO141" s="58"/>
      <c r="AP141" s="58"/>
      <c r="AQ141" s="58"/>
      <c r="AR141" s="58"/>
    </row>
    <row r="142" spans="2:44" ht="12.75">
      <c r="B142" s="58"/>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58"/>
      <c r="AJ142" s="58"/>
      <c r="AK142" s="58"/>
      <c r="AL142" s="66"/>
      <c r="AM142" s="66"/>
      <c r="AN142" s="66"/>
      <c r="AO142" s="58"/>
      <c r="AP142" s="58"/>
      <c r="AQ142" s="58"/>
      <c r="AR142" s="58"/>
    </row>
    <row r="143" spans="2:44" ht="12.75">
      <c r="B143" s="58"/>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58"/>
      <c r="AJ143" s="58"/>
      <c r="AK143" s="58"/>
      <c r="AL143" s="66"/>
      <c r="AM143" s="66"/>
      <c r="AN143" s="66"/>
      <c r="AO143" s="58"/>
      <c r="AP143" s="58"/>
      <c r="AQ143" s="58"/>
      <c r="AR143" s="58"/>
    </row>
    <row r="144" spans="2:44" ht="12.75">
      <c r="B144" s="58"/>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58"/>
      <c r="AJ144" s="58"/>
      <c r="AK144" s="58"/>
      <c r="AL144" s="66"/>
      <c r="AM144" s="66"/>
      <c r="AN144" s="66"/>
      <c r="AO144" s="58"/>
      <c r="AP144" s="58"/>
      <c r="AQ144" s="58"/>
      <c r="AR144" s="58"/>
    </row>
    <row r="145" spans="2:44" ht="12.75">
      <c r="B145" s="58"/>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58"/>
      <c r="AJ145" s="58"/>
      <c r="AK145" s="58"/>
      <c r="AL145" s="66"/>
      <c r="AM145" s="66"/>
      <c r="AN145" s="66"/>
      <c r="AO145" s="58"/>
      <c r="AP145" s="58"/>
      <c r="AQ145" s="58"/>
      <c r="AR145" s="58"/>
    </row>
    <row r="146" spans="2:44" ht="12.75">
      <c r="B146" s="58"/>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58"/>
      <c r="AJ146" s="58"/>
      <c r="AK146" s="58"/>
      <c r="AL146" s="66"/>
      <c r="AM146" s="66"/>
      <c r="AN146" s="66"/>
      <c r="AO146" s="58"/>
      <c r="AP146" s="58"/>
      <c r="AQ146" s="58"/>
      <c r="AR146" s="58"/>
    </row>
    <row r="147" spans="2:44" ht="12.75">
      <c r="B147" s="58"/>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58"/>
      <c r="AJ147" s="58"/>
      <c r="AK147" s="58"/>
      <c r="AL147" s="66"/>
      <c r="AM147" s="66"/>
      <c r="AN147" s="66"/>
      <c r="AO147" s="58"/>
      <c r="AP147" s="58"/>
      <c r="AQ147" s="58"/>
      <c r="AR147" s="58"/>
    </row>
    <row r="148" spans="2:44" ht="12.75">
      <c r="B148" s="58"/>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58"/>
      <c r="AJ148" s="58"/>
      <c r="AK148" s="58"/>
      <c r="AL148" s="66"/>
      <c r="AM148" s="66"/>
      <c r="AN148" s="66"/>
      <c r="AO148" s="58"/>
      <c r="AP148" s="58"/>
      <c r="AQ148" s="58"/>
      <c r="AR148" s="58"/>
    </row>
    <row r="149" spans="2:44" ht="12.75">
      <c r="B149" s="58"/>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58"/>
      <c r="AJ149" s="58"/>
      <c r="AK149" s="58"/>
      <c r="AL149" s="66"/>
      <c r="AM149" s="66"/>
      <c r="AN149" s="66"/>
      <c r="AO149" s="58"/>
      <c r="AP149" s="58"/>
      <c r="AQ149" s="58"/>
      <c r="AR149" s="58"/>
    </row>
    <row r="150" spans="2:44" ht="12.75">
      <c r="B150" s="58"/>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58"/>
      <c r="AJ150" s="58"/>
      <c r="AK150" s="58"/>
      <c r="AL150" s="66"/>
      <c r="AM150" s="66"/>
      <c r="AN150" s="66"/>
      <c r="AO150" s="58"/>
      <c r="AP150" s="58"/>
      <c r="AQ150" s="58"/>
      <c r="AR150" s="58"/>
    </row>
    <row r="151" spans="2:44" ht="12.75">
      <c r="B151" s="58"/>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58"/>
      <c r="AJ151" s="58"/>
      <c r="AK151" s="58"/>
      <c r="AL151" s="66"/>
      <c r="AM151" s="66"/>
      <c r="AN151" s="66"/>
      <c r="AO151" s="58"/>
      <c r="AP151" s="58"/>
      <c r="AQ151" s="58"/>
      <c r="AR151" s="58"/>
    </row>
    <row r="152" spans="2:44" ht="12.75">
      <c r="B152" s="58"/>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58"/>
      <c r="AJ152" s="58"/>
      <c r="AK152" s="58"/>
      <c r="AL152" s="66"/>
      <c r="AM152" s="66"/>
      <c r="AN152" s="66"/>
      <c r="AO152" s="58"/>
      <c r="AP152" s="58"/>
      <c r="AQ152" s="58"/>
      <c r="AR152" s="58"/>
    </row>
    <row r="153" spans="2:44" ht="12.75">
      <c r="B153" s="58"/>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58"/>
      <c r="AJ153" s="58"/>
      <c r="AK153" s="58"/>
      <c r="AL153" s="66"/>
      <c r="AM153" s="66"/>
      <c r="AN153" s="66"/>
      <c r="AO153" s="58"/>
      <c r="AP153" s="58"/>
      <c r="AQ153" s="58"/>
      <c r="AR153" s="58"/>
    </row>
    <row r="154" spans="2:44" ht="12.75">
      <c r="B154" s="58"/>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58"/>
      <c r="AJ154" s="58"/>
      <c r="AK154" s="58"/>
      <c r="AL154" s="66"/>
      <c r="AM154" s="66"/>
      <c r="AN154" s="66"/>
      <c r="AO154" s="58"/>
      <c r="AP154" s="58"/>
      <c r="AQ154" s="58"/>
      <c r="AR154" s="58"/>
    </row>
    <row r="155" spans="2:44" ht="12.75">
      <c r="B155" s="58"/>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58"/>
      <c r="AJ155" s="58"/>
      <c r="AK155" s="58"/>
      <c r="AL155" s="66"/>
      <c r="AM155" s="66"/>
      <c r="AN155" s="66"/>
      <c r="AO155" s="58"/>
      <c r="AP155" s="58"/>
      <c r="AQ155" s="58"/>
      <c r="AR155" s="58"/>
    </row>
    <row r="156" spans="2:44" ht="12.75">
      <c r="B156" s="58"/>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58"/>
      <c r="AJ156" s="58"/>
      <c r="AK156" s="58"/>
      <c r="AL156" s="66"/>
      <c r="AM156" s="66"/>
      <c r="AN156" s="66"/>
      <c r="AO156" s="58"/>
      <c r="AP156" s="58"/>
      <c r="AQ156" s="58"/>
      <c r="AR156" s="58"/>
    </row>
    <row r="157" spans="2:44" ht="12.75">
      <c r="B157" s="58"/>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58"/>
      <c r="AJ157" s="58"/>
      <c r="AK157" s="58"/>
      <c r="AL157" s="66"/>
      <c r="AM157" s="66"/>
      <c r="AN157" s="66"/>
      <c r="AO157" s="58"/>
      <c r="AP157" s="58"/>
      <c r="AQ157" s="58"/>
      <c r="AR157" s="58"/>
    </row>
    <row r="158" spans="2:44" ht="12.75">
      <c r="B158" s="58"/>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58"/>
      <c r="AJ158" s="58"/>
      <c r="AK158" s="58"/>
      <c r="AL158" s="66"/>
      <c r="AM158" s="66"/>
      <c r="AN158" s="66"/>
      <c r="AO158" s="58"/>
      <c r="AP158" s="58"/>
      <c r="AQ158" s="58"/>
      <c r="AR158" s="58"/>
    </row>
    <row r="159" spans="2:44" ht="12.75">
      <c r="B159" s="58"/>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58"/>
      <c r="AJ159" s="58"/>
      <c r="AK159" s="58"/>
      <c r="AL159" s="66"/>
      <c r="AM159" s="66"/>
      <c r="AN159" s="66"/>
      <c r="AO159" s="58"/>
      <c r="AP159" s="58"/>
      <c r="AQ159" s="58"/>
      <c r="AR159" s="58"/>
    </row>
    <row r="160" spans="2:44" ht="12.75">
      <c r="B160" s="58"/>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58"/>
      <c r="AJ160" s="58"/>
      <c r="AK160" s="58"/>
      <c r="AL160" s="66"/>
      <c r="AM160" s="66"/>
      <c r="AN160" s="66"/>
      <c r="AO160" s="58"/>
      <c r="AP160" s="58"/>
      <c r="AQ160" s="58"/>
      <c r="AR160" s="58"/>
    </row>
    <row r="161" spans="2:44" ht="12.75">
      <c r="B161" s="58"/>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58"/>
      <c r="AJ161" s="58"/>
      <c r="AK161" s="58"/>
      <c r="AL161" s="66"/>
      <c r="AM161" s="66"/>
      <c r="AN161" s="66"/>
      <c r="AO161" s="58"/>
      <c r="AP161" s="58"/>
      <c r="AQ161" s="58"/>
      <c r="AR161" s="58"/>
    </row>
    <row r="162" spans="2:44" ht="12.75">
      <c r="B162" s="58"/>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58"/>
      <c r="AJ162" s="58"/>
      <c r="AK162" s="58"/>
      <c r="AL162" s="66"/>
      <c r="AM162" s="66"/>
      <c r="AN162" s="66"/>
      <c r="AO162" s="58"/>
      <c r="AP162" s="58"/>
      <c r="AQ162" s="58"/>
      <c r="AR162" s="58"/>
    </row>
    <row r="163" spans="2:44" ht="12.75">
      <c r="B163" s="58"/>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58"/>
      <c r="AJ163" s="58"/>
      <c r="AK163" s="58"/>
      <c r="AL163" s="66"/>
      <c r="AM163" s="66"/>
      <c r="AN163" s="66"/>
      <c r="AO163" s="58"/>
      <c r="AP163" s="58"/>
      <c r="AQ163" s="58"/>
      <c r="AR163" s="58"/>
    </row>
    <row r="164" spans="2:44" ht="12.75">
      <c r="B164" s="58"/>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58"/>
      <c r="AJ164" s="58"/>
      <c r="AK164" s="58"/>
      <c r="AL164" s="66"/>
      <c r="AM164" s="66"/>
      <c r="AN164" s="66"/>
      <c r="AO164" s="58"/>
      <c r="AP164" s="58"/>
      <c r="AQ164" s="58"/>
      <c r="AR164" s="58"/>
    </row>
    <row r="165" spans="2:44" ht="12.75">
      <c r="B165" s="58"/>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58"/>
      <c r="AJ165" s="58"/>
      <c r="AK165" s="58"/>
      <c r="AL165" s="66"/>
      <c r="AM165" s="66"/>
      <c r="AN165" s="66"/>
      <c r="AO165" s="58"/>
      <c r="AP165" s="58"/>
      <c r="AQ165" s="58"/>
      <c r="AR165" s="58"/>
    </row>
    <row r="166" spans="2:44" ht="12.75">
      <c r="B166" s="58"/>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58"/>
      <c r="AJ166" s="58"/>
      <c r="AK166" s="58"/>
      <c r="AL166" s="66"/>
      <c r="AM166" s="66"/>
      <c r="AN166" s="66"/>
      <c r="AO166" s="58"/>
      <c r="AP166" s="58"/>
      <c r="AQ166" s="58"/>
      <c r="AR166" s="58"/>
    </row>
    <row r="167" spans="2:44" ht="12.75">
      <c r="B167" s="58"/>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58"/>
      <c r="AJ167" s="58"/>
      <c r="AK167" s="58"/>
      <c r="AL167" s="66"/>
      <c r="AM167" s="66"/>
      <c r="AN167" s="66"/>
      <c r="AO167" s="58"/>
      <c r="AP167" s="58"/>
      <c r="AQ167" s="58"/>
      <c r="AR167" s="58"/>
    </row>
    <row r="168" spans="2:44" ht="12.75">
      <c r="B168" s="58"/>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58"/>
      <c r="AJ168" s="58"/>
      <c r="AK168" s="58"/>
      <c r="AL168" s="66"/>
      <c r="AM168" s="66"/>
      <c r="AN168" s="66"/>
      <c r="AO168" s="58"/>
      <c r="AP168" s="58"/>
      <c r="AQ168" s="58"/>
      <c r="AR168" s="58"/>
    </row>
    <row r="169" spans="2:44" ht="12.75">
      <c r="B169" s="58"/>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58"/>
      <c r="AJ169" s="58"/>
      <c r="AK169" s="58"/>
      <c r="AL169" s="66"/>
      <c r="AM169" s="66"/>
      <c r="AN169" s="66"/>
      <c r="AO169" s="58"/>
      <c r="AP169" s="58"/>
      <c r="AQ169" s="58"/>
      <c r="AR169" s="58"/>
    </row>
    <row r="170" spans="2:44" ht="12.75">
      <c r="B170" s="58"/>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58"/>
      <c r="AJ170" s="58"/>
      <c r="AK170" s="58"/>
      <c r="AL170" s="66"/>
      <c r="AM170" s="66"/>
      <c r="AN170" s="66"/>
      <c r="AO170" s="58"/>
      <c r="AP170" s="58"/>
      <c r="AQ170" s="58"/>
      <c r="AR170" s="58"/>
    </row>
    <row r="171" spans="2:44" ht="12.75">
      <c r="B171" s="58"/>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58"/>
      <c r="AJ171" s="58"/>
      <c r="AK171" s="58"/>
      <c r="AL171" s="66"/>
      <c r="AM171" s="66"/>
      <c r="AN171" s="66"/>
      <c r="AO171" s="58"/>
      <c r="AP171" s="58"/>
      <c r="AQ171" s="58"/>
      <c r="AR171" s="58"/>
    </row>
    <row r="172" spans="2:44" ht="12.75">
      <c r="B172" s="58"/>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58"/>
      <c r="AJ172" s="58"/>
      <c r="AK172" s="58"/>
      <c r="AL172" s="66"/>
      <c r="AM172" s="66"/>
      <c r="AN172" s="66"/>
      <c r="AO172" s="58"/>
      <c r="AP172" s="58"/>
      <c r="AQ172" s="58"/>
      <c r="AR172" s="58"/>
    </row>
    <row r="173" spans="2:44" ht="12.75">
      <c r="B173" s="58"/>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58"/>
      <c r="AJ173" s="58"/>
      <c r="AK173" s="58"/>
      <c r="AL173" s="66"/>
      <c r="AM173" s="66"/>
      <c r="AN173" s="66"/>
      <c r="AO173" s="58"/>
      <c r="AP173" s="58"/>
      <c r="AQ173" s="58"/>
      <c r="AR173" s="58"/>
    </row>
    <row r="174" spans="2:44" ht="12.75">
      <c r="B174" s="58"/>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58"/>
      <c r="AJ174" s="58"/>
      <c r="AK174" s="58"/>
      <c r="AL174" s="66"/>
      <c r="AM174" s="66"/>
      <c r="AN174" s="66"/>
      <c r="AO174" s="58"/>
      <c r="AP174" s="58"/>
      <c r="AQ174" s="58"/>
      <c r="AR174" s="58"/>
    </row>
    <row r="175" spans="2:44" ht="12.75">
      <c r="B175" s="58"/>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58"/>
      <c r="AJ175" s="58"/>
      <c r="AK175" s="58"/>
      <c r="AL175" s="66"/>
      <c r="AM175" s="66"/>
      <c r="AN175" s="66"/>
      <c r="AO175" s="58"/>
      <c r="AP175" s="58"/>
      <c r="AQ175" s="58"/>
      <c r="AR175" s="58"/>
    </row>
    <row r="176" spans="2:44" ht="12.75">
      <c r="B176" s="58"/>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58"/>
      <c r="AJ176" s="58"/>
      <c r="AK176" s="58"/>
      <c r="AL176" s="66"/>
      <c r="AM176" s="66"/>
      <c r="AN176" s="66"/>
      <c r="AO176" s="58"/>
      <c r="AP176" s="58"/>
      <c r="AQ176" s="58"/>
      <c r="AR176" s="58"/>
    </row>
    <row r="177" spans="2:44" ht="12.75">
      <c r="B177" s="58"/>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58"/>
      <c r="AJ177" s="58"/>
      <c r="AK177" s="58"/>
      <c r="AL177" s="66"/>
      <c r="AM177" s="66"/>
      <c r="AN177" s="66"/>
      <c r="AO177" s="58"/>
      <c r="AP177" s="58"/>
      <c r="AQ177" s="58"/>
      <c r="AR177" s="58"/>
    </row>
    <row r="178" spans="2:44" ht="12.75">
      <c r="B178" s="58"/>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58"/>
      <c r="AJ178" s="58"/>
      <c r="AK178" s="58"/>
      <c r="AL178" s="66"/>
      <c r="AM178" s="66"/>
      <c r="AN178" s="66"/>
      <c r="AO178" s="58"/>
      <c r="AP178" s="58"/>
      <c r="AQ178" s="58"/>
      <c r="AR178" s="58"/>
    </row>
    <row r="179" spans="2:44" ht="12.75">
      <c r="B179" s="58"/>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58"/>
      <c r="AJ179" s="58"/>
      <c r="AK179" s="58"/>
      <c r="AL179" s="66"/>
      <c r="AM179" s="66"/>
      <c r="AN179" s="66"/>
      <c r="AO179" s="58"/>
      <c r="AP179" s="58"/>
      <c r="AQ179" s="58"/>
      <c r="AR179" s="58"/>
    </row>
    <row r="180" spans="2:44" ht="12.75">
      <c r="B180" s="58"/>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58"/>
      <c r="AJ180" s="58"/>
      <c r="AK180" s="58"/>
      <c r="AL180" s="66"/>
      <c r="AM180" s="66"/>
      <c r="AN180" s="66"/>
      <c r="AO180" s="58"/>
      <c r="AP180" s="58"/>
      <c r="AQ180" s="58"/>
      <c r="AR180" s="58"/>
    </row>
    <row r="181" spans="2:44" ht="12.75">
      <c r="B181" s="58"/>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58"/>
      <c r="AJ181" s="58"/>
      <c r="AK181" s="58"/>
      <c r="AL181" s="66"/>
      <c r="AM181" s="66"/>
      <c r="AN181" s="66"/>
      <c r="AO181" s="58"/>
      <c r="AP181" s="58"/>
      <c r="AQ181" s="58"/>
      <c r="AR181" s="58"/>
    </row>
    <row r="182" spans="2:44" ht="12.75">
      <c r="B182" s="58"/>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58"/>
      <c r="AJ182" s="58"/>
      <c r="AK182" s="58"/>
      <c r="AL182" s="66"/>
      <c r="AM182" s="66"/>
      <c r="AN182" s="66"/>
      <c r="AO182" s="58"/>
      <c r="AP182" s="58"/>
      <c r="AQ182" s="58"/>
      <c r="AR182" s="58"/>
    </row>
    <row r="183" spans="2:44" ht="12.75">
      <c r="B183" s="58"/>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58"/>
      <c r="AJ183" s="58"/>
      <c r="AK183" s="58"/>
      <c r="AL183" s="66"/>
      <c r="AM183" s="66"/>
      <c r="AN183" s="66"/>
      <c r="AO183" s="58"/>
      <c r="AP183" s="58"/>
      <c r="AQ183" s="58"/>
      <c r="AR183" s="58"/>
    </row>
    <row r="184" spans="2:44" ht="12.75">
      <c r="B184" s="58"/>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58"/>
      <c r="AJ184" s="58"/>
      <c r="AK184" s="58"/>
      <c r="AL184" s="66"/>
      <c r="AM184" s="66"/>
      <c r="AN184" s="66"/>
      <c r="AO184" s="58"/>
      <c r="AP184" s="58"/>
      <c r="AQ184" s="58"/>
      <c r="AR184" s="58"/>
    </row>
    <row r="185" spans="2:44" ht="12.75">
      <c r="B185" s="58"/>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58"/>
      <c r="AJ185" s="58"/>
      <c r="AK185" s="58"/>
      <c r="AL185" s="66"/>
      <c r="AM185" s="66"/>
      <c r="AN185" s="66"/>
      <c r="AO185" s="58"/>
      <c r="AP185" s="58"/>
      <c r="AQ185" s="58"/>
      <c r="AR185" s="58"/>
    </row>
    <row r="186" spans="2:44" ht="12.75">
      <c r="B186" s="58"/>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58"/>
      <c r="AJ186" s="58"/>
      <c r="AK186" s="58"/>
      <c r="AL186" s="66"/>
      <c r="AM186" s="66"/>
      <c r="AN186" s="66"/>
      <c r="AO186" s="58"/>
      <c r="AP186" s="58"/>
      <c r="AQ186" s="58"/>
      <c r="AR186" s="58"/>
    </row>
    <row r="187" spans="2:44" ht="12.75">
      <c r="B187" s="58"/>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58"/>
      <c r="AJ187" s="58"/>
      <c r="AK187" s="58"/>
      <c r="AL187" s="66"/>
      <c r="AM187" s="66"/>
      <c r="AN187" s="66"/>
      <c r="AO187" s="58"/>
      <c r="AP187" s="58"/>
      <c r="AQ187" s="58"/>
      <c r="AR187" s="58"/>
    </row>
    <row r="188" spans="2:44" ht="12.75">
      <c r="B188" s="58"/>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58"/>
      <c r="AJ188" s="58"/>
      <c r="AK188" s="58"/>
      <c r="AL188" s="66"/>
      <c r="AM188" s="66"/>
      <c r="AN188" s="66"/>
      <c r="AO188" s="58"/>
      <c r="AP188" s="58"/>
      <c r="AQ188" s="58"/>
      <c r="AR188" s="58"/>
    </row>
    <row r="189" spans="2:44" ht="12.75">
      <c r="B189" s="58"/>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58"/>
      <c r="AJ189" s="58"/>
      <c r="AK189" s="58"/>
      <c r="AL189" s="66"/>
      <c r="AM189" s="66"/>
      <c r="AN189" s="66"/>
      <c r="AO189" s="58"/>
      <c r="AP189" s="58"/>
      <c r="AQ189" s="58"/>
      <c r="AR189" s="58"/>
    </row>
    <row r="190" spans="2:44" ht="12.75">
      <c r="B190" s="58"/>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58"/>
      <c r="AJ190" s="58"/>
      <c r="AK190" s="58"/>
      <c r="AL190" s="66"/>
      <c r="AM190" s="66"/>
      <c r="AN190" s="66"/>
      <c r="AO190" s="58"/>
      <c r="AP190" s="58"/>
      <c r="AQ190" s="58"/>
      <c r="AR190" s="58"/>
    </row>
    <row r="191" spans="2:44" ht="12.75">
      <c r="B191" s="58"/>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58"/>
      <c r="AJ191" s="58"/>
      <c r="AK191" s="58"/>
      <c r="AL191" s="66"/>
      <c r="AM191" s="66"/>
      <c r="AN191" s="66"/>
      <c r="AO191" s="58"/>
      <c r="AP191" s="58"/>
      <c r="AQ191" s="58"/>
      <c r="AR191" s="58"/>
    </row>
    <row r="192" spans="2:44" ht="12.75">
      <c r="B192" s="58"/>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58"/>
      <c r="AJ192" s="58"/>
      <c r="AK192" s="58"/>
      <c r="AL192" s="66"/>
      <c r="AM192" s="66"/>
      <c r="AN192" s="66"/>
      <c r="AO192" s="58"/>
      <c r="AP192" s="58"/>
      <c r="AQ192" s="58"/>
      <c r="AR192" s="58"/>
    </row>
    <row r="193" spans="2:44" ht="12.75">
      <c r="B193" s="58"/>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58"/>
      <c r="AJ193" s="58"/>
      <c r="AK193" s="58"/>
      <c r="AL193" s="66"/>
      <c r="AM193" s="66"/>
      <c r="AN193" s="66"/>
      <c r="AO193" s="58"/>
      <c r="AP193" s="58"/>
      <c r="AQ193" s="58"/>
      <c r="AR193" s="58"/>
    </row>
    <row r="194" spans="2:44" ht="12.75">
      <c r="B194" s="58"/>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58"/>
      <c r="AJ194" s="58"/>
      <c r="AK194" s="58"/>
      <c r="AL194" s="66"/>
      <c r="AM194" s="66"/>
      <c r="AN194" s="66"/>
      <c r="AO194" s="58"/>
      <c r="AP194" s="58"/>
      <c r="AQ194" s="58"/>
      <c r="AR194" s="58"/>
    </row>
    <row r="195" spans="2:44" ht="12.75">
      <c r="B195" s="58"/>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58"/>
      <c r="AJ195" s="58"/>
      <c r="AK195" s="58"/>
      <c r="AL195" s="66"/>
      <c r="AM195" s="66"/>
      <c r="AN195" s="66"/>
      <c r="AO195" s="58"/>
      <c r="AP195" s="58"/>
      <c r="AQ195" s="58"/>
      <c r="AR195" s="58"/>
    </row>
    <row r="196" spans="2:44" ht="12.75">
      <c r="B196" s="58"/>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58"/>
      <c r="AJ196" s="58"/>
      <c r="AK196" s="58"/>
      <c r="AL196" s="66"/>
      <c r="AM196" s="66"/>
      <c r="AN196" s="66"/>
      <c r="AO196" s="58"/>
      <c r="AP196" s="58"/>
      <c r="AQ196" s="58"/>
      <c r="AR196" s="58"/>
    </row>
    <row r="197" spans="2:44" ht="12.75">
      <c r="B197" s="58"/>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58"/>
      <c r="AJ197" s="58"/>
      <c r="AK197" s="58"/>
      <c r="AL197" s="66"/>
      <c r="AM197" s="66"/>
      <c r="AN197" s="66"/>
      <c r="AO197" s="58"/>
      <c r="AP197" s="58"/>
      <c r="AQ197" s="58"/>
      <c r="AR197" s="58"/>
    </row>
    <row r="198" spans="2:44" ht="12.75">
      <c r="B198" s="58"/>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58"/>
      <c r="AJ198" s="58"/>
      <c r="AK198" s="58"/>
      <c r="AL198" s="66"/>
      <c r="AM198" s="66"/>
      <c r="AN198" s="66"/>
      <c r="AO198" s="58"/>
      <c r="AP198" s="58"/>
      <c r="AQ198" s="58"/>
      <c r="AR198" s="58"/>
    </row>
    <row r="199" spans="2:44" ht="12.75">
      <c r="B199" s="58"/>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58"/>
      <c r="AJ199" s="58"/>
      <c r="AK199" s="58"/>
      <c r="AL199" s="66"/>
      <c r="AM199" s="66"/>
      <c r="AN199" s="66"/>
      <c r="AO199" s="58"/>
      <c r="AP199" s="58"/>
      <c r="AQ199" s="58"/>
      <c r="AR199" s="58"/>
    </row>
    <row r="200" spans="2:44" ht="12.75">
      <c r="B200" s="58"/>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58"/>
      <c r="AJ200" s="58"/>
      <c r="AK200" s="58"/>
      <c r="AL200" s="66"/>
      <c r="AM200" s="66"/>
      <c r="AN200" s="66"/>
      <c r="AO200" s="58"/>
      <c r="AP200" s="58"/>
      <c r="AQ200" s="58"/>
      <c r="AR200" s="58"/>
    </row>
    <row r="201" spans="2:44" ht="12.75">
      <c r="B201" s="58"/>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58"/>
      <c r="AJ201" s="58"/>
      <c r="AK201" s="58"/>
      <c r="AL201" s="66"/>
      <c r="AM201" s="66"/>
      <c r="AN201" s="66"/>
      <c r="AO201" s="58"/>
      <c r="AP201" s="58"/>
      <c r="AQ201" s="58"/>
      <c r="AR201" s="58"/>
    </row>
    <row r="202" spans="2:44" ht="12.75">
      <c r="B202" s="58"/>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58"/>
      <c r="AJ202" s="58"/>
      <c r="AK202" s="58"/>
      <c r="AL202" s="66"/>
      <c r="AM202" s="66"/>
      <c r="AN202" s="66"/>
      <c r="AO202" s="58"/>
      <c r="AP202" s="58"/>
      <c r="AQ202" s="58"/>
      <c r="AR202" s="58"/>
    </row>
    <row r="203" spans="2:44" ht="12.75">
      <c r="B203" s="58"/>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58"/>
      <c r="AJ203" s="58"/>
      <c r="AK203" s="58"/>
      <c r="AL203" s="66"/>
      <c r="AM203" s="66"/>
      <c r="AN203" s="66"/>
      <c r="AO203" s="58"/>
      <c r="AP203" s="58"/>
      <c r="AQ203" s="58"/>
      <c r="AR203" s="58"/>
    </row>
    <row r="204" spans="2:44" ht="12.75">
      <c r="B204" s="58"/>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58"/>
      <c r="AJ204" s="58"/>
      <c r="AK204" s="58"/>
      <c r="AL204" s="66"/>
      <c r="AM204" s="66"/>
      <c r="AN204" s="66"/>
      <c r="AO204" s="58"/>
      <c r="AP204" s="58"/>
      <c r="AQ204" s="58"/>
      <c r="AR204" s="58"/>
    </row>
    <row r="205" spans="2:44" ht="12.75">
      <c r="B205" s="58"/>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58"/>
      <c r="AJ205" s="58"/>
      <c r="AK205" s="58"/>
      <c r="AL205" s="66"/>
      <c r="AM205" s="66"/>
      <c r="AN205" s="66"/>
      <c r="AO205" s="58"/>
      <c r="AP205" s="58"/>
      <c r="AQ205" s="58"/>
      <c r="AR205" s="58"/>
    </row>
    <row r="206" spans="2:44" ht="12.75">
      <c r="B206" s="58"/>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58"/>
      <c r="AJ206" s="58"/>
      <c r="AK206" s="58"/>
      <c r="AL206" s="66"/>
      <c r="AM206" s="66"/>
      <c r="AN206" s="66"/>
      <c r="AO206" s="58"/>
      <c r="AP206" s="58"/>
      <c r="AQ206" s="58"/>
      <c r="AR206" s="58"/>
    </row>
    <row r="207" spans="2:44" ht="12.75">
      <c r="B207" s="58"/>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58"/>
      <c r="AJ207" s="58"/>
      <c r="AK207" s="58"/>
      <c r="AL207" s="66"/>
      <c r="AM207" s="66"/>
      <c r="AN207" s="66"/>
      <c r="AO207" s="58"/>
      <c r="AP207" s="58"/>
      <c r="AQ207" s="58"/>
      <c r="AR207" s="58"/>
    </row>
    <row r="208" spans="2:44" ht="12.75">
      <c r="B208" s="58"/>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58"/>
      <c r="AJ208" s="58"/>
      <c r="AK208" s="58"/>
      <c r="AL208" s="66"/>
      <c r="AM208" s="66"/>
      <c r="AN208" s="66"/>
      <c r="AO208" s="58"/>
      <c r="AP208" s="58"/>
      <c r="AQ208" s="58"/>
      <c r="AR208" s="58"/>
    </row>
    <row r="209" spans="2:44" ht="12.75">
      <c r="B209" s="58"/>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58"/>
      <c r="AJ209" s="58"/>
      <c r="AK209" s="58"/>
      <c r="AL209" s="66"/>
      <c r="AM209" s="66"/>
      <c r="AN209" s="66"/>
      <c r="AO209" s="58"/>
      <c r="AP209" s="58"/>
      <c r="AQ209" s="58"/>
      <c r="AR209" s="58"/>
    </row>
    <row r="210" spans="2:44" ht="12.75">
      <c r="B210" s="58"/>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58"/>
      <c r="AJ210" s="58"/>
      <c r="AK210" s="58"/>
      <c r="AL210" s="66"/>
      <c r="AM210" s="66"/>
      <c r="AN210" s="66"/>
      <c r="AO210" s="58"/>
      <c r="AP210" s="58"/>
      <c r="AQ210" s="58"/>
      <c r="AR210" s="58"/>
    </row>
    <row r="211" spans="2:44" ht="12.75">
      <c r="B211" s="58"/>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58"/>
      <c r="AJ211" s="58"/>
      <c r="AK211" s="58"/>
      <c r="AL211" s="66"/>
      <c r="AM211" s="66"/>
      <c r="AN211" s="66"/>
      <c r="AO211" s="58"/>
      <c r="AP211" s="58"/>
      <c r="AQ211" s="58"/>
      <c r="AR211" s="58"/>
    </row>
    <row r="212" spans="2:44" ht="12.75">
      <c r="B212" s="58"/>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58"/>
      <c r="AJ212" s="58"/>
      <c r="AK212" s="58"/>
      <c r="AL212" s="66"/>
      <c r="AM212" s="66"/>
      <c r="AN212" s="66"/>
      <c r="AO212" s="58"/>
      <c r="AP212" s="58"/>
      <c r="AQ212" s="58"/>
      <c r="AR212" s="58"/>
    </row>
    <row r="213" spans="2:44" ht="12.75">
      <c r="B213" s="58"/>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58"/>
      <c r="AJ213" s="58"/>
      <c r="AK213" s="58"/>
      <c r="AL213" s="66"/>
      <c r="AM213" s="66"/>
      <c r="AN213" s="66"/>
      <c r="AO213" s="58"/>
      <c r="AP213" s="58"/>
      <c r="AQ213" s="58"/>
      <c r="AR213" s="58"/>
    </row>
    <row r="214" spans="2:44" ht="12.75">
      <c r="B214" s="58"/>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58"/>
      <c r="AJ214" s="58"/>
      <c r="AK214" s="58"/>
      <c r="AL214" s="66"/>
      <c r="AM214" s="66"/>
      <c r="AN214" s="66"/>
      <c r="AO214" s="58"/>
      <c r="AP214" s="58"/>
      <c r="AQ214" s="58"/>
      <c r="AR214" s="58"/>
    </row>
    <row r="215" spans="2:44" ht="12.75">
      <c r="B215" s="58"/>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58"/>
      <c r="AJ215" s="58"/>
      <c r="AK215" s="58"/>
      <c r="AL215" s="66"/>
      <c r="AM215" s="66"/>
      <c r="AN215" s="66"/>
      <c r="AO215" s="58"/>
      <c r="AP215" s="58"/>
      <c r="AQ215" s="58"/>
      <c r="AR215" s="58"/>
    </row>
    <row r="216" spans="2:44" ht="12.75">
      <c r="B216" s="58"/>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58"/>
      <c r="AJ216" s="58"/>
      <c r="AK216" s="58"/>
      <c r="AL216" s="66"/>
      <c r="AM216" s="66"/>
      <c r="AN216" s="66"/>
      <c r="AO216" s="58"/>
      <c r="AP216" s="58"/>
      <c r="AQ216" s="58"/>
      <c r="AR216" s="58"/>
    </row>
    <row r="217" spans="2:44" ht="12.75">
      <c r="B217" s="58"/>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58"/>
      <c r="AJ217" s="58"/>
      <c r="AK217" s="58"/>
      <c r="AL217" s="66"/>
      <c r="AM217" s="66"/>
      <c r="AN217" s="66"/>
      <c r="AO217" s="58"/>
      <c r="AP217" s="58"/>
      <c r="AQ217" s="58"/>
      <c r="AR217" s="58"/>
    </row>
    <row r="218" spans="2:44" ht="12.75">
      <c r="B218" s="58"/>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58"/>
      <c r="AJ218" s="58"/>
      <c r="AK218" s="58"/>
      <c r="AL218" s="66"/>
      <c r="AM218" s="66"/>
      <c r="AN218" s="66"/>
      <c r="AO218" s="58"/>
      <c r="AP218" s="58"/>
      <c r="AQ218" s="58"/>
      <c r="AR218" s="58"/>
    </row>
    <row r="219" spans="2:44" ht="12.75">
      <c r="B219" s="58"/>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58"/>
      <c r="AJ219" s="58"/>
      <c r="AK219" s="58"/>
      <c r="AL219" s="66"/>
      <c r="AM219" s="66"/>
      <c r="AN219" s="66"/>
      <c r="AO219" s="58"/>
      <c r="AP219" s="58"/>
      <c r="AQ219" s="58"/>
      <c r="AR219" s="58"/>
    </row>
    <row r="220" spans="2:44" ht="12.75">
      <c r="B220" s="58"/>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58"/>
      <c r="AJ220" s="58"/>
      <c r="AK220" s="58"/>
      <c r="AL220" s="66"/>
      <c r="AM220" s="66"/>
      <c r="AN220" s="66"/>
      <c r="AO220" s="58"/>
      <c r="AP220" s="58"/>
      <c r="AQ220" s="58"/>
      <c r="AR220" s="58"/>
    </row>
    <row r="221" spans="2:44" ht="12.75">
      <c r="B221" s="58"/>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58"/>
      <c r="AJ221" s="58"/>
      <c r="AK221" s="58"/>
      <c r="AL221" s="66"/>
      <c r="AM221" s="66"/>
      <c r="AN221" s="66"/>
      <c r="AO221" s="58"/>
      <c r="AP221" s="58"/>
      <c r="AQ221" s="58"/>
      <c r="AR221" s="58"/>
    </row>
    <row r="222" spans="2:44" ht="12.75">
      <c r="B222" s="58"/>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58"/>
      <c r="AJ222" s="58"/>
      <c r="AK222" s="58"/>
      <c r="AL222" s="66"/>
      <c r="AM222" s="66"/>
      <c r="AN222" s="66"/>
      <c r="AO222" s="58"/>
      <c r="AP222" s="58"/>
      <c r="AQ222" s="58"/>
      <c r="AR222" s="58"/>
    </row>
    <row r="223" spans="2:44" ht="12.75">
      <c r="B223" s="58"/>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58"/>
      <c r="AJ223" s="58"/>
      <c r="AK223" s="58"/>
      <c r="AL223" s="66"/>
      <c r="AM223" s="66"/>
      <c r="AN223" s="66"/>
      <c r="AO223" s="58"/>
      <c r="AP223" s="58"/>
      <c r="AQ223" s="58"/>
      <c r="AR223" s="58"/>
    </row>
    <row r="224" spans="2:44" ht="12.75">
      <c r="B224" s="58"/>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58"/>
      <c r="AJ224" s="58"/>
      <c r="AK224" s="58"/>
      <c r="AL224" s="66"/>
      <c r="AM224" s="66"/>
      <c r="AN224" s="66"/>
      <c r="AO224" s="58"/>
      <c r="AP224" s="58"/>
      <c r="AQ224" s="58"/>
      <c r="AR224" s="58"/>
    </row>
    <row r="225" spans="2:44" ht="12.75">
      <c r="B225" s="58"/>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58"/>
      <c r="AJ225" s="58"/>
      <c r="AK225" s="58"/>
      <c r="AL225" s="66"/>
      <c r="AM225" s="66"/>
      <c r="AN225" s="66"/>
      <c r="AO225" s="58"/>
      <c r="AP225" s="58"/>
      <c r="AQ225" s="58"/>
      <c r="AR225" s="58"/>
    </row>
    <row r="226" spans="2:44" ht="12.75">
      <c r="B226" s="58"/>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58"/>
      <c r="AJ226" s="58"/>
      <c r="AK226" s="58"/>
      <c r="AL226" s="66"/>
      <c r="AM226" s="66"/>
      <c r="AN226" s="66"/>
      <c r="AO226" s="58"/>
      <c r="AP226" s="58"/>
      <c r="AQ226" s="58"/>
      <c r="AR226" s="58"/>
    </row>
    <row r="227" spans="2:44" ht="12.75">
      <c r="B227" s="58"/>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58"/>
      <c r="AJ227" s="58"/>
      <c r="AK227" s="58"/>
      <c r="AL227" s="66"/>
      <c r="AM227" s="66"/>
      <c r="AN227" s="66"/>
      <c r="AO227" s="58"/>
      <c r="AP227" s="58"/>
      <c r="AQ227" s="58"/>
      <c r="AR227" s="58"/>
    </row>
    <row r="228" spans="2:44" ht="12.75">
      <c r="B228" s="58"/>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58"/>
      <c r="AJ228" s="58"/>
      <c r="AK228" s="58"/>
      <c r="AL228" s="66"/>
      <c r="AM228" s="66"/>
      <c r="AN228" s="66"/>
      <c r="AO228" s="58"/>
      <c r="AP228" s="58"/>
      <c r="AQ228" s="58"/>
      <c r="AR228" s="58"/>
    </row>
    <row r="229" spans="2:44" ht="12.75">
      <c r="B229" s="58"/>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58"/>
      <c r="AJ229" s="58"/>
      <c r="AK229" s="58"/>
      <c r="AL229" s="66"/>
      <c r="AM229" s="66"/>
      <c r="AN229" s="66"/>
      <c r="AO229" s="58"/>
      <c r="AP229" s="58"/>
      <c r="AQ229" s="58"/>
      <c r="AR229" s="58"/>
    </row>
    <row r="230" spans="2:44" ht="12.75">
      <c r="B230" s="58"/>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58"/>
      <c r="AJ230" s="58"/>
      <c r="AK230" s="58"/>
      <c r="AL230" s="66"/>
      <c r="AM230" s="66"/>
      <c r="AN230" s="66"/>
      <c r="AO230" s="58"/>
      <c r="AP230" s="58"/>
      <c r="AQ230" s="58"/>
      <c r="AR230" s="58"/>
    </row>
    <row r="231" spans="2:44" ht="12.75">
      <c r="B231" s="58"/>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58"/>
      <c r="AJ231" s="58"/>
      <c r="AK231" s="58"/>
      <c r="AL231" s="66"/>
      <c r="AM231" s="66"/>
      <c r="AN231" s="66"/>
      <c r="AO231" s="58"/>
      <c r="AP231" s="58"/>
      <c r="AQ231" s="58"/>
      <c r="AR231" s="58"/>
    </row>
    <row r="232" spans="2:44" ht="12.75">
      <c r="B232" s="58"/>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58"/>
      <c r="AJ232" s="58"/>
      <c r="AK232" s="58"/>
      <c r="AL232" s="66"/>
      <c r="AM232" s="66"/>
      <c r="AN232" s="66"/>
      <c r="AO232" s="58"/>
      <c r="AP232" s="58"/>
      <c r="AQ232" s="58"/>
      <c r="AR232" s="58"/>
    </row>
    <row r="233" spans="2:44" ht="12.75">
      <c r="B233" s="58"/>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58"/>
      <c r="AJ233" s="58"/>
      <c r="AK233" s="58"/>
      <c r="AL233" s="66"/>
      <c r="AM233" s="66"/>
      <c r="AN233" s="66"/>
      <c r="AO233" s="58"/>
      <c r="AP233" s="58"/>
      <c r="AQ233" s="58"/>
      <c r="AR233" s="58"/>
    </row>
    <row r="234" spans="2:44" ht="12.75">
      <c r="B234" s="58"/>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58"/>
      <c r="AJ234" s="58"/>
      <c r="AK234" s="58"/>
      <c r="AL234" s="66"/>
      <c r="AM234" s="66"/>
      <c r="AN234" s="66"/>
      <c r="AO234" s="58"/>
      <c r="AP234" s="58"/>
      <c r="AQ234" s="58"/>
      <c r="AR234" s="58"/>
    </row>
    <row r="235" spans="2:44" ht="12.75">
      <c r="B235" s="58"/>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58"/>
      <c r="AJ235" s="58"/>
      <c r="AK235" s="58"/>
      <c r="AL235" s="66"/>
      <c r="AM235" s="66"/>
      <c r="AN235" s="66"/>
      <c r="AO235" s="58"/>
      <c r="AP235" s="58"/>
      <c r="AQ235" s="58"/>
      <c r="AR235" s="58"/>
    </row>
    <row r="236" spans="2:44" ht="12.75">
      <c r="B236" s="58"/>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58"/>
      <c r="AJ236" s="58"/>
      <c r="AK236" s="58"/>
      <c r="AL236" s="66"/>
      <c r="AM236" s="66"/>
      <c r="AN236" s="66"/>
      <c r="AO236" s="58"/>
      <c r="AP236" s="58"/>
      <c r="AQ236" s="58"/>
      <c r="AR236" s="58"/>
    </row>
    <row r="237" spans="2:44" ht="12.75">
      <c r="B237" s="58"/>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58"/>
      <c r="AJ237" s="58"/>
      <c r="AK237" s="58"/>
      <c r="AL237" s="66"/>
      <c r="AM237" s="66"/>
      <c r="AN237" s="66"/>
      <c r="AO237" s="58"/>
      <c r="AP237" s="58"/>
      <c r="AQ237" s="58"/>
      <c r="AR237" s="58"/>
    </row>
    <row r="238" spans="2:44" ht="12.75">
      <c r="B238" s="58"/>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58"/>
      <c r="AJ238" s="58"/>
      <c r="AK238" s="58"/>
      <c r="AL238" s="66"/>
      <c r="AM238" s="66"/>
      <c r="AN238" s="66"/>
      <c r="AO238" s="58"/>
      <c r="AP238" s="58"/>
      <c r="AQ238" s="58"/>
      <c r="AR238" s="58"/>
    </row>
    <row r="239" spans="2:44" ht="12.75">
      <c r="B239" s="58"/>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58"/>
      <c r="AJ239" s="58"/>
      <c r="AK239" s="58"/>
      <c r="AL239" s="66"/>
      <c r="AM239" s="66"/>
      <c r="AN239" s="66"/>
      <c r="AO239" s="58"/>
      <c r="AP239" s="58"/>
      <c r="AQ239" s="58"/>
      <c r="AR239" s="58"/>
    </row>
    <row r="240" spans="2:44" ht="12.75">
      <c r="B240" s="58"/>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58"/>
      <c r="AJ240" s="58"/>
      <c r="AK240" s="58"/>
      <c r="AL240" s="66"/>
      <c r="AM240" s="66"/>
      <c r="AN240" s="66"/>
      <c r="AO240" s="58"/>
      <c r="AP240" s="58"/>
      <c r="AQ240" s="58"/>
      <c r="AR240" s="58"/>
    </row>
    <row r="241" spans="2:44" ht="12.75">
      <c r="B241" s="58"/>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58"/>
      <c r="AJ241" s="58"/>
      <c r="AK241" s="58"/>
      <c r="AL241" s="66"/>
      <c r="AM241" s="66"/>
      <c r="AN241" s="66"/>
      <c r="AO241" s="58"/>
      <c r="AP241" s="58"/>
      <c r="AQ241" s="58"/>
      <c r="AR241" s="58"/>
    </row>
    <row r="242" spans="2:44" ht="12.75">
      <c r="B242" s="58"/>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58"/>
      <c r="AJ242" s="58"/>
      <c r="AK242" s="58"/>
      <c r="AL242" s="66"/>
      <c r="AM242" s="66"/>
      <c r="AN242" s="66"/>
      <c r="AO242" s="58"/>
      <c r="AP242" s="58"/>
      <c r="AQ242" s="58"/>
      <c r="AR242" s="58"/>
    </row>
    <row r="243" spans="2:44" ht="12.75">
      <c r="B243" s="58"/>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58"/>
      <c r="AJ243" s="58"/>
      <c r="AK243" s="58"/>
      <c r="AL243" s="66"/>
      <c r="AM243" s="66"/>
      <c r="AN243" s="66"/>
      <c r="AO243" s="58"/>
      <c r="AP243" s="58"/>
      <c r="AQ243" s="58"/>
      <c r="AR243" s="58"/>
    </row>
    <row r="244" spans="2:44" ht="12.75">
      <c r="B244" s="58"/>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58"/>
      <c r="AJ244" s="58"/>
      <c r="AK244" s="58"/>
      <c r="AL244" s="66"/>
      <c r="AM244" s="66"/>
      <c r="AN244" s="66"/>
      <c r="AO244" s="58"/>
      <c r="AP244" s="58"/>
      <c r="AQ244" s="58"/>
      <c r="AR244" s="58"/>
    </row>
    <row r="245" spans="2:44" ht="12.75">
      <c r="B245" s="58"/>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58"/>
      <c r="AJ245" s="58"/>
      <c r="AK245" s="58"/>
      <c r="AL245" s="66"/>
      <c r="AM245" s="66"/>
      <c r="AN245" s="66"/>
      <c r="AO245" s="58"/>
      <c r="AP245" s="58"/>
      <c r="AQ245" s="58"/>
      <c r="AR245" s="58"/>
    </row>
    <row r="246" spans="2:44" ht="12.75">
      <c r="B246" s="58"/>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58"/>
      <c r="AJ246" s="58"/>
      <c r="AK246" s="58"/>
      <c r="AL246" s="66"/>
      <c r="AM246" s="66"/>
      <c r="AN246" s="66"/>
      <c r="AO246" s="58"/>
      <c r="AP246" s="58"/>
      <c r="AQ246" s="58"/>
      <c r="AR246" s="58"/>
    </row>
    <row r="247" spans="2:44" ht="12.75">
      <c r="B247" s="58"/>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58"/>
      <c r="AJ247" s="58"/>
      <c r="AK247" s="58"/>
      <c r="AL247" s="66"/>
      <c r="AM247" s="66"/>
      <c r="AN247" s="66"/>
      <c r="AO247" s="58"/>
      <c r="AP247" s="58"/>
      <c r="AQ247" s="58"/>
      <c r="AR247" s="58"/>
    </row>
    <row r="248" spans="2:44" ht="12.75">
      <c r="B248" s="58"/>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58"/>
      <c r="AJ248" s="58"/>
      <c r="AK248" s="58"/>
      <c r="AL248" s="66"/>
      <c r="AM248" s="66"/>
      <c r="AN248" s="66"/>
      <c r="AO248" s="58"/>
      <c r="AP248" s="58"/>
      <c r="AQ248" s="58"/>
      <c r="AR248" s="58"/>
    </row>
    <row r="249" spans="2:44" ht="12.75">
      <c r="B249" s="58"/>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58"/>
      <c r="AJ249" s="58"/>
      <c r="AK249" s="58"/>
      <c r="AL249" s="66"/>
      <c r="AM249" s="66"/>
      <c r="AN249" s="66"/>
      <c r="AO249" s="58"/>
      <c r="AP249" s="58"/>
      <c r="AQ249" s="58"/>
      <c r="AR249" s="58"/>
    </row>
    <row r="250" spans="2:44" ht="12.75">
      <c r="B250" s="58"/>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58"/>
      <c r="AJ250" s="58"/>
      <c r="AK250" s="58"/>
      <c r="AL250" s="66"/>
      <c r="AM250" s="66"/>
      <c r="AN250" s="66"/>
      <c r="AO250" s="58"/>
      <c r="AP250" s="58"/>
      <c r="AQ250" s="58"/>
      <c r="AR250" s="58"/>
    </row>
    <row r="251" spans="2:44" ht="12.75">
      <c r="B251" s="58"/>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58"/>
      <c r="AJ251" s="58"/>
      <c r="AK251" s="58"/>
      <c r="AL251" s="66"/>
      <c r="AM251" s="66"/>
      <c r="AN251" s="66"/>
      <c r="AO251" s="58"/>
      <c r="AP251" s="58"/>
      <c r="AQ251" s="58"/>
      <c r="AR251" s="58"/>
    </row>
    <row r="252" spans="2:44" ht="12.75">
      <c r="B252" s="58"/>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58"/>
      <c r="AJ252" s="58"/>
      <c r="AK252" s="58"/>
      <c r="AL252" s="66"/>
      <c r="AM252" s="66"/>
      <c r="AN252" s="66"/>
      <c r="AO252" s="58"/>
      <c r="AP252" s="58"/>
      <c r="AQ252" s="58"/>
      <c r="AR252" s="58"/>
    </row>
    <row r="253" spans="2:44" ht="12.75">
      <c r="B253" s="58"/>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58"/>
      <c r="AJ253" s="58"/>
      <c r="AK253" s="58"/>
      <c r="AL253" s="66"/>
      <c r="AM253" s="66"/>
      <c r="AN253" s="66"/>
      <c r="AO253" s="58"/>
      <c r="AP253" s="58"/>
      <c r="AQ253" s="58"/>
      <c r="AR253" s="58"/>
    </row>
    <row r="254" spans="2:44" ht="12.75">
      <c r="B254" s="58"/>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58"/>
      <c r="AJ254" s="58"/>
      <c r="AK254" s="58"/>
      <c r="AL254" s="66"/>
      <c r="AM254" s="66"/>
      <c r="AN254" s="66"/>
      <c r="AO254" s="58"/>
      <c r="AP254" s="58"/>
      <c r="AQ254" s="58"/>
      <c r="AR254" s="58"/>
    </row>
    <row r="255" spans="2:44" ht="12.75">
      <c r="B255" s="58"/>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58"/>
      <c r="AJ255" s="58"/>
      <c r="AK255" s="58"/>
      <c r="AL255" s="66"/>
      <c r="AM255" s="66"/>
      <c r="AN255" s="66"/>
      <c r="AO255" s="58"/>
      <c r="AP255" s="58"/>
      <c r="AQ255" s="58"/>
      <c r="AR255" s="58"/>
    </row>
    <row r="256" spans="2:44" ht="12.75">
      <c r="B256" s="58"/>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58"/>
      <c r="AJ256" s="58"/>
      <c r="AK256" s="58"/>
      <c r="AL256" s="66"/>
      <c r="AM256" s="66"/>
      <c r="AN256" s="66"/>
      <c r="AO256" s="58"/>
      <c r="AP256" s="58"/>
      <c r="AQ256" s="58"/>
      <c r="AR256" s="58"/>
    </row>
    <row r="257" spans="2:44" ht="12.75">
      <c r="B257" s="58"/>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58"/>
      <c r="AJ257" s="58"/>
      <c r="AK257" s="58"/>
      <c r="AL257" s="66"/>
      <c r="AM257" s="66"/>
      <c r="AN257" s="66"/>
      <c r="AO257" s="58"/>
      <c r="AP257" s="58"/>
      <c r="AQ257" s="58"/>
      <c r="AR257" s="58"/>
    </row>
    <row r="258" spans="2:44" ht="12.75">
      <c r="B258" s="58"/>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58"/>
      <c r="AJ258" s="58"/>
      <c r="AK258" s="58"/>
      <c r="AL258" s="66"/>
      <c r="AM258" s="66"/>
      <c r="AN258" s="66"/>
      <c r="AO258" s="58"/>
      <c r="AP258" s="58"/>
      <c r="AQ258" s="58"/>
      <c r="AR258" s="58"/>
    </row>
    <row r="259" spans="2:44" ht="12.75">
      <c r="B259" s="58"/>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58"/>
      <c r="AJ259" s="58"/>
      <c r="AK259" s="58"/>
      <c r="AL259" s="66"/>
      <c r="AM259" s="66"/>
      <c r="AN259" s="66"/>
      <c r="AO259" s="58"/>
      <c r="AP259" s="58"/>
      <c r="AQ259" s="58"/>
      <c r="AR259" s="58"/>
    </row>
    <row r="260" spans="2:44" ht="12.75">
      <c r="B260" s="58"/>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58"/>
      <c r="AJ260" s="58"/>
      <c r="AK260" s="58"/>
      <c r="AL260" s="66"/>
      <c r="AM260" s="66"/>
      <c r="AN260" s="66"/>
      <c r="AO260" s="58"/>
      <c r="AP260" s="58"/>
      <c r="AQ260" s="58"/>
      <c r="AR260" s="58"/>
    </row>
    <row r="261" spans="2:44" ht="12.75">
      <c r="B261" s="58"/>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58"/>
      <c r="AJ261" s="58"/>
      <c r="AK261" s="58"/>
      <c r="AL261" s="66"/>
      <c r="AM261" s="66"/>
      <c r="AN261" s="66"/>
      <c r="AO261" s="58"/>
      <c r="AP261" s="58"/>
      <c r="AQ261" s="58"/>
      <c r="AR261" s="58"/>
    </row>
    <row r="262" spans="2:44" ht="12.75">
      <c r="B262" s="58"/>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58"/>
      <c r="AJ262" s="58"/>
      <c r="AK262" s="58"/>
      <c r="AL262" s="66"/>
      <c r="AM262" s="66"/>
      <c r="AN262" s="66"/>
      <c r="AO262" s="58"/>
      <c r="AP262" s="58"/>
      <c r="AQ262" s="58"/>
      <c r="AR262" s="58"/>
    </row>
    <row r="263" spans="2:44" ht="12.75">
      <c r="B263" s="58"/>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58"/>
      <c r="AJ263" s="58"/>
      <c r="AK263" s="58"/>
      <c r="AL263" s="66"/>
      <c r="AM263" s="66"/>
      <c r="AN263" s="66"/>
      <c r="AO263" s="58"/>
      <c r="AP263" s="58"/>
      <c r="AQ263" s="58"/>
      <c r="AR263" s="58"/>
    </row>
    <row r="264" spans="2:44" ht="12.75">
      <c r="B264" s="58"/>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58"/>
      <c r="AJ264" s="58"/>
      <c r="AK264" s="58"/>
      <c r="AL264" s="66"/>
      <c r="AM264" s="66"/>
      <c r="AN264" s="66"/>
      <c r="AO264" s="58"/>
      <c r="AP264" s="58"/>
      <c r="AQ264" s="58"/>
      <c r="AR264" s="58"/>
    </row>
    <row r="265" spans="2:44" ht="12.75">
      <c r="B265" s="58"/>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58"/>
      <c r="AJ265" s="58"/>
      <c r="AK265" s="58"/>
      <c r="AL265" s="66"/>
      <c r="AM265" s="66"/>
      <c r="AN265" s="66"/>
      <c r="AO265" s="58"/>
      <c r="AP265" s="58"/>
      <c r="AQ265" s="58"/>
      <c r="AR265" s="58"/>
    </row>
    <row r="266" spans="2:44" ht="12.75">
      <c r="B266" s="58"/>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58"/>
      <c r="AJ266" s="58"/>
      <c r="AK266" s="58"/>
      <c r="AL266" s="66"/>
      <c r="AM266" s="66"/>
      <c r="AN266" s="66"/>
      <c r="AO266" s="58"/>
      <c r="AP266" s="58"/>
      <c r="AQ266" s="58"/>
      <c r="AR266" s="58"/>
    </row>
    <row r="267" spans="2:44" ht="12.75">
      <c r="B267" s="58"/>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58"/>
      <c r="AJ267" s="58"/>
      <c r="AK267" s="58"/>
      <c r="AL267" s="66"/>
      <c r="AM267" s="66"/>
      <c r="AN267" s="66"/>
      <c r="AO267" s="58"/>
      <c r="AP267" s="58"/>
      <c r="AQ267" s="58"/>
      <c r="AR267" s="58"/>
    </row>
    <row r="268" spans="2:44" ht="12.75">
      <c r="B268" s="58"/>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58"/>
      <c r="AJ268" s="58"/>
      <c r="AK268" s="58"/>
      <c r="AL268" s="66"/>
      <c r="AM268" s="66"/>
      <c r="AN268" s="66"/>
      <c r="AO268" s="58"/>
      <c r="AP268" s="58"/>
      <c r="AQ268" s="58"/>
      <c r="AR268" s="58"/>
    </row>
    <row r="269" spans="2:44" ht="12.75">
      <c r="B269" s="58"/>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58"/>
      <c r="AJ269" s="58"/>
      <c r="AK269" s="58"/>
      <c r="AL269" s="66"/>
      <c r="AM269" s="66"/>
      <c r="AN269" s="66"/>
      <c r="AO269" s="58"/>
      <c r="AP269" s="58"/>
      <c r="AQ269" s="58"/>
      <c r="AR269" s="58"/>
    </row>
    <row r="270" spans="2:44" ht="12.75">
      <c r="B270" s="58"/>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58"/>
      <c r="AJ270" s="58"/>
      <c r="AK270" s="58"/>
      <c r="AL270" s="66"/>
      <c r="AM270" s="66"/>
      <c r="AN270" s="66"/>
      <c r="AO270" s="58"/>
      <c r="AP270" s="58"/>
      <c r="AQ270" s="58"/>
      <c r="AR270" s="58"/>
    </row>
    <row r="271" spans="2:44" ht="12.75">
      <c r="B271" s="58"/>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58"/>
      <c r="AJ271" s="58"/>
      <c r="AK271" s="58"/>
      <c r="AL271" s="66"/>
      <c r="AM271" s="66"/>
      <c r="AN271" s="66"/>
      <c r="AO271" s="58"/>
      <c r="AP271" s="58"/>
      <c r="AQ271" s="58"/>
      <c r="AR271" s="58"/>
    </row>
    <row r="272" spans="2:44" ht="12.75">
      <c r="B272" s="58"/>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58"/>
      <c r="AJ272" s="58"/>
      <c r="AK272" s="58"/>
      <c r="AL272" s="66"/>
      <c r="AM272" s="66"/>
      <c r="AN272" s="66"/>
      <c r="AO272" s="58"/>
      <c r="AP272" s="58"/>
      <c r="AQ272" s="58"/>
      <c r="AR272" s="58"/>
    </row>
    <row r="273" spans="2:44" ht="12.75">
      <c r="B273" s="58"/>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58"/>
      <c r="AJ273" s="58"/>
      <c r="AK273" s="58"/>
      <c r="AL273" s="66"/>
      <c r="AM273" s="66"/>
      <c r="AN273" s="66"/>
      <c r="AO273" s="58"/>
      <c r="AP273" s="58"/>
      <c r="AQ273" s="58"/>
      <c r="AR273" s="58"/>
    </row>
    <row r="274" spans="2:44" ht="12.75">
      <c r="B274" s="58"/>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58"/>
      <c r="AJ274" s="58"/>
      <c r="AK274" s="58"/>
      <c r="AL274" s="66"/>
      <c r="AM274" s="66"/>
      <c r="AN274" s="66"/>
      <c r="AO274" s="58"/>
      <c r="AP274" s="58"/>
      <c r="AQ274" s="58"/>
      <c r="AR274" s="58"/>
    </row>
    <row r="275" spans="2:44" ht="12.75">
      <c r="B275" s="58"/>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58"/>
      <c r="AJ275" s="58"/>
      <c r="AK275" s="58"/>
      <c r="AL275" s="66"/>
      <c r="AM275" s="66"/>
      <c r="AN275" s="66"/>
      <c r="AO275" s="58"/>
      <c r="AP275" s="58"/>
      <c r="AQ275" s="58"/>
      <c r="AR275" s="58"/>
    </row>
    <row r="276" spans="2:44" ht="12.75">
      <c r="B276" s="58"/>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58"/>
      <c r="AJ276" s="58"/>
      <c r="AK276" s="58"/>
      <c r="AL276" s="66"/>
      <c r="AM276" s="66"/>
      <c r="AN276" s="66"/>
      <c r="AO276" s="58"/>
      <c r="AP276" s="58"/>
      <c r="AQ276" s="58"/>
      <c r="AR276" s="58"/>
    </row>
    <row r="277" spans="2:44" ht="12.75">
      <c r="B277" s="58"/>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58"/>
      <c r="AJ277" s="58"/>
      <c r="AK277" s="58"/>
      <c r="AL277" s="66"/>
      <c r="AM277" s="66"/>
      <c r="AN277" s="66"/>
      <c r="AO277" s="58"/>
      <c r="AP277" s="58"/>
      <c r="AQ277" s="58"/>
      <c r="AR277" s="58"/>
    </row>
    <row r="278" spans="2:44" ht="12.75">
      <c r="B278" s="58"/>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58"/>
      <c r="AJ278" s="58"/>
      <c r="AK278" s="58"/>
      <c r="AL278" s="66"/>
      <c r="AM278" s="66"/>
      <c r="AN278" s="66"/>
      <c r="AO278" s="58"/>
      <c r="AP278" s="58"/>
      <c r="AQ278" s="58"/>
      <c r="AR278" s="58"/>
    </row>
    <row r="279" spans="2:44" ht="12.75">
      <c r="B279" s="58"/>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58"/>
      <c r="AJ279" s="58"/>
      <c r="AK279" s="58"/>
      <c r="AL279" s="66"/>
      <c r="AM279" s="66"/>
      <c r="AN279" s="66"/>
      <c r="AO279" s="58"/>
      <c r="AP279" s="58"/>
      <c r="AQ279" s="58"/>
      <c r="AR279" s="58"/>
    </row>
    <row r="280" spans="2:44" ht="12.75">
      <c r="B280" s="58"/>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58"/>
      <c r="AJ280" s="58"/>
      <c r="AK280" s="58"/>
      <c r="AL280" s="66"/>
      <c r="AM280" s="66"/>
      <c r="AN280" s="66"/>
      <c r="AO280" s="58"/>
      <c r="AP280" s="58"/>
      <c r="AQ280" s="58"/>
      <c r="AR280" s="58"/>
    </row>
    <row r="281" spans="2:44" ht="12.75">
      <c r="B281" s="58"/>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58"/>
      <c r="AJ281" s="58"/>
      <c r="AK281" s="58"/>
      <c r="AL281" s="66"/>
      <c r="AM281" s="66"/>
      <c r="AN281" s="66"/>
      <c r="AO281" s="58"/>
      <c r="AP281" s="58"/>
      <c r="AQ281" s="58"/>
      <c r="AR281" s="58"/>
    </row>
    <row r="282" spans="2:44" ht="12.75">
      <c r="B282" s="58"/>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58"/>
      <c r="AJ282" s="58"/>
      <c r="AK282" s="58"/>
      <c r="AL282" s="66"/>
      <c r="AM282" s="66"/>
      <c r="AN282" s="66"/>
      <c r="AO282" s="58"/>
      <c r="AP282" s="58"/>
      <c r="AQ282" s="58"/>
      <c r="AR282" s="58"/>
    </row>
    <row r="283" spans="2:44" ht="12.75">
      <c r="B283" s="58"/>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58"/>
      <c r="AJ283" s="58"/>
      <c r="AK283" s="58"/>
      <c r="AL283" s="66"/>
      <c r="AM283" s="66"/>
      <c r="AN283" s="66"/>
      <c r="AO283" s="58"/>
      <c r="AP283" s="58"/>
      <c r="AQ283" s="58"/>
      <c r="AR283" s="58"/>
    </row>
    <row r="284" spans="2:44" ht="12.75">
      <c r="B284" s="58"/>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58"/>
      <c r="AJ284" s="58"/>
      <c r="AK284" s="58"/>
      <c r="AL284" s="66"/>
      <c r="AM284" s="66"/>
      <c r="AN284" s="66"/>
      <c r="AO284" s="58"/>
      <c r="AP284" s="58"/>
      <c r="AQ284" s="58"/>
      <c r="AR284" s="58"/>
    </row>
    <row r="285" spans="2:44" ht="12.75">
      <c r="B285" s="58"/>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58"/>
      <c r="AJ285" s="58"/>
      <c r="AK285" s="58"/>
      <c r="AL285" s="66"/>
      <c r="AM285" s="66"/>
      <c r="AN285" s="66"/>
      <c r="AO285" s="58"/>
      <c r="AP285" s="58"/>
      <c r="AQ285" s="58"/>
      <c r="AR285" s="58"/>
    </row>
    <row r="286" spans="2:44" ht="12.75">
      <c r="B286" s="58"/>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58"/>
      <c r="AJ286" s="58"/>
      <c r="AK286" s="58"/>
      <c r="AL286" s="66"/>
      <c r="AM286" s="66"/>
      <c r="AN286" s="66"/>
      <c r="AO286" s="58"/>
      <c r="AP286" s="58"/>
      <c r="AQ286" s="58"/>
      <c r="AR286" s="58"/>
    </row>
    <row r="287" spans="2:44" ht="12.75">
      <c r="B287" s="58"/>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58"/>
      <c r="AJ287" s="58"/>
      <c r="AK287" s="58"/>
      <c r="AL287" s="66"/>
      <c r="AM287" s="66"/>
      <c r="AN287" s="66"/>
      <c r="AO287" s="58"/>
      <c r="AP287" s="58"/>
      <c r="AQ287" s="58"/>
      <c r="AR287" s="58"/>
    </row>
    <row r="288" spans="2:44" ht="12.75">
      <c r="B288" s="58"/>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58"/>
      <c r="AJ288" s="58"/>
      <c r="AK288" s="58"/>
      <c r="AL288" s="66"/>
      <c r="AM288" s="66"/>
      <c r="AN288" s="66"/>
      <c r="AO288" s="58"/>
      <c r="AP288" s="58"/>
      <c r="AQ288" s="58"/>
      <c r="AR288" s="58"/>
    </row>
    <row r="289" spans="2:44" ht="12.75">
      <c r="B289" s="58"/>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58"/>
      <c r="AJ289" s="58"/>
      <c r="AK289" s="58"/>
      <c r="AL289" s="66"/>
      <c r="AM289" s="66"/>
      <c r="AN289" s="66"/>
      <c r="AO289" s="58"/>
      <c r="AP289" s="58"/>
      <c r="AQ289" s="58"/>
      <c r="AR289" s="58"/>
    </row>
    <row r="290" spans="2:44" ht="12.75">
      <c r="B290" s="58"/>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58"/>
      <c r="AJ290" s="58"/>
      <c r="AK290" s="58"/>
      <c r="AL290" s="66"/>
      <c r="AM290" s="66"/>
      <c r="AN290" s="66"/>
      <c r="AO290" s="58"/>
      <c r="AP290" s="58"/>
      <c r="AQ290" s="58"/>
      <c r="AR290" s="58"/>
    </row>
    <row r="291" spans="2:44" ht="12.75">
      <c r="B291" s="58"/>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58"/>
      <c r="AJ291" s="58"/>
      <c r="AK291" s="58"/>
      <c r="AL291" s="66"/>
      <c r="AM291" s="66"/>
      <c r="AN291" s="66"/>
      <c r="AO291" s="58"/>
      <c r="AP291" s="58"/>
      <c r="AQ291" s="58"/>
      <c r="AR291" s="58"/>
    </row>
    <row r="292" spans="2:44" ht="12.75">
      <c r="B292" s="58"/>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58"/>
      <c r="AJ292" s="58"/>
      <c r="AK292" s="58"/>
      <c r="AL292" s="66"/>
      <c r="AM292" s="66"/>
      <c r="AN292" s="66"/>
      <c r="AO292" s="58"/>
      <c r="AP292" s="58"/>
      <c r="AQ292" s="58"/>
      <c r="AR292" s="58"/>
    </row>
    <row r="293" spans="2:44" ht="12.75">
      <c r="B293" s="58"/>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58"/>
      <c r="AJ293" s="58"/>
      <c r="AK293" s="58"/>
      <c r="AL293" s="66"/>
      <c r="AM293" s="66"/>
      <c r="AN293" s="66"/>
      <c r="AO293" s="58"/>
      <c r="AP293" s="58"/>
      <c r="AQ293" s="58"/>
      <c r="AR293" s="58"/>
    </row>
    <row r="294" spans="2:44" ht="12.75">
      <c r="B294" s="58"/>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58"/>
      <c r="AJ294" s="58"/>
      <c r="AK294" s="58"/>
      <c r="AL294" s="66"/>
      <c r="AM294" s="66"/>
      <c r="AN294" s="66"/>
      <c r="AO294" s="58"/>
      <c r="AP294" s="58"/>
      <c r="AQ294" s="58"/>
      <c r="AR294" s="58"/>
    </row>
    <row r="295" spans="2:44" ht="12.75">
      <c r="B295" s="58"/>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58"/>
      <c r="AJ295" s="58"/>
      <c r="AK295" s="58"/>
      <c r="AL295" s="66"/>
      <c r="AM295" s="66"/>
      <c r="AN295" s="66"/>
      <c r="AO295" s="58"/>
      <c r="AP295" s="58"/>
      <c r="AQ295" s="58"/>
      <c r="AR295" s="58"/>
    </row>
    <row r="296" spans="2:44" ht="12.75">
      <c r="B296" s="58"/>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58"/>
      <c r="AJ296" s="58"/>
      <c r="AK296" s="58"/>
      <c r="AL296" s="66"/>
      <c r="AM296" s="66"/>
      <c r="AN296" s="66"/>
      <c r="AO296" s="58"/>
      <c r="AP296" s="58"/>
      <c r="AQ296" s="58"/>
      <c r="AR296" s="58"/>
    </row>
    <row r="297" spans="2:44" ht="12.75">
      <c r="B297" s="58"/>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58"/>
      <c r="AJ297" s="58"/>
      <c r="AK297" s="58"/>
      <c r="AL297" s="66"/>
      <c r="AM297" s="66"/>
      <c r="AN297" s="66"/>
      <c r="AO297" s="58"/>
      <c r="AP297" s="58"/>
      <c r="AQ297" s="58"/>
      <c r="AR297" s="58"/>
    </row>
    <row r="298" spans="2:44" ht="12.75">
      <c r="B298" s="58"/>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58"/>
      <c r="AJ298" s="58"/>
      <c r="AK298" s="58"/>
      <c r="AL298" s="66"/>
      <c r="AM298" s="66"/>
      <c r="AN298" s="66"/>
      <c r="AO298" s="58"/>
      <c r="AP298" s="58"/>
      <c r="AQ298" s="58"/>
      <c r="AR298" s="58"/>
    </row>
    <row r="299" spans="2:44" ht="12.75">
      <c r="B299" s="58"/>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58"/>
      <c r="AJ299" s="58"/>
      <c r="AK299" s="58"/>
      <c r="AL299" s="66"/>
      <c r="AM299" s="66"/>
      <c r="AN299" s="66"/>
      <c r="AO299" s="58"/>
      <c r="AP299" s="58"/>
      <c r="AQ299" s="58"/>
      <c r="AR299" s="58"/>
    </row>
    <row r="300" spans="2:44" ht="12.75">
      <c r="B300" s="58"/>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58"/>
      <c r="AJ300" s="58"/>
      <c r="AK300" s="58"/>
      <c r="AL300" s="66"/>
      <c r="AM300" s="66"/>
      <c r="AN300" s="66"/>
      <c r="AO300" s="58"/>
      <c r="AP300" s="58"/>
      <c r="AQ300" s="58"/>
      <c r="AR300" s="58"/>
    </row>
    <row r="301" spans="2:44" ht="12.75">
      <c r="B301" s="58"/>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58"/>
      <c r="AJ301" s="58"/>
      <c r="AK301" s="58"/>
      <c r="AL301" s="66"/>
      <c r="AM301" s="66"/>
      <c r="AN301" s="66"/>
      <c r="AO301" s="58"/>
      <c r="AP301" s="58"/>
      <c r="AQ301" s="58"/>
      <c r="AR301" s="58"/>
    </row>
    <row r="302" spans="2:44" ht="12.75">
      <c r="B302" s="58"/>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58"/>
      <c r="AJ302" s="58"/>
      <c r="AK302" s="58"/>
      <c r="AL302" s="66"/>
      <c r="AM302" s="66"/>
      <c r="AN302" s="66"/>
      <c r="AO302" s="58"/>
      <c r="AP302" s="58"/>
      <c r="AQ302" s="58"/>
      <c r="AR302" s="58"/>
    </row>
    <row r="303" spans="2:44" ht="12.75">
      <c r="B303" s="58"/>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58"/>
      <c r="AJ303" s="58"/>
      <c r="AK303" s="58"/>
      <c r="AL303" s="66"/>
      <c r="AM303" s="66"/>
      <c r="AN303" s="66"/>
      <c r="AO303" s="58"/>
      <c r="AP303" s="58"/>
      <c r="AQ303" s="58"/>
      <c r="AR303" s="58"/>
    </row>
    <row r="304" spans="2:44" ht="12.75">
      <c r="B304" s="58"/>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58"/>
      <c r="AJ304" s="58"/>
      <c r="AK304" s="58"/>
      <c r="AL304" s="66"/>
      <c r="AM304" s="66"/>
      <c r="AN304" s="66"/>
      <c r="AO304" s="58"/>
      <c r="AP304" s="58"/>
      <c r="AQ304" s="58"/>
      <c r="AR304" s="58"/>
    </row>
  </sheetData>
  <sheetProtection/>
  <mergeCells count="1">
    <mergeCell ref="C6:K6"/>
  </mergeCells>
  <printOptions/>
  <pageMargins left="0.75" right="0.75" top="1" bottom="1" header="0.5" footer="0.5"/>
  <pageSetup fitToWidth="2" horizontalDpi="600" verticalDpi="600" orientation="landscape" scale="70" r:id="rId1"/>
  <colBreaks count="1" manualBreakCount="1">
    <brk id="36" max="32" man="1"/>
  </colBreaks>
</worksheet>
</file>

<file path=xl/worksheets/sheet5.xml><?xml version="1.0" encoding="utf-8"?>
<worksheet xmlns="http://schemas.openxmlformats.org/spreadsheetml/2006/main" xmlns:r="http://schemas.openxmlformats.org/officeDocument/2006/relationships">
  <sheetPr codeName="Sheet12">
    <tabColor rgb="FF008887"/>
  </sheetPr>
  <dimension ref="A1:Z147"/>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C6" sqref="C6:I6"/>
    </sheetView>
  </sheetViews>
  <sheetFormatPr defaultColWidth="9.33203125" defaultRowHeight="12.75"/>
  <cols>
    <col min="1" max="1" width="4.16015625" style="0" customWidth="1"/>
    <col min="2" max="2" width="33.16015625" style="0" customWidth="1"/>
    <col min="3" max="3" width="13.5" style="40" customWidth="1"/>
    <col min="4" max="4" width="5.66015625" style="40" hidden="1" customWidth="1"/>
    <col min="5" max="5" width="8.83203125" style="40" customWidth="1"/>
    <col min="6" max="6" width="9.33203125" style="122" customWidth="1"/>
    <col min="7" max="7" width="12.5" style="0" customWidth="1"/>
    <col min="8" max="8" width="13.83203125" style="30" customWidth="1"/>
    <col min="9" max="9" width="13.66015625" style="30" customWidth="1"/>
  </cols>
  <sheetData>
    <row r="1" spans="1:26" ht="12.75">
      <c r="A1" s="58"/>
      <c r="B1" s="58"/>
      <c r="C1" s="66"/>
      <c r="D1" s="66"/>
      <c r="E1" s="66"/>
      <c r="F1" s="118"/>
      <c r="G1" s="58"/>
      <c r="H1" s="67"/>
      <c r="I1" s="67"/>
      <c r="J1" s="58"/>
      <c r="K1" s="58"/>
      <c r="L1" s="58"/>
      <c r="M1" s="58"/>
      <c r="N1" s="58"/>
      <c r="O1" s="58"/>
      <c r="P1" s="58"/>
      <c r="Q1" s="58"/>
      <c r="R1" s="58"/>
      <c r="S1" s="58"/>
      <c r="T1" s="58"/>
      <c r="U1" s="58"/>
      <c r="V1" s="58"/>
      <c r="W1" s="58"/>
      <c r="X1" s="58"/>
      <c r="Y1" s="58"/>
      <c r="Z1" s="58"/>
    </row>
    <row r="2" spans="1:26" ht="12.75">
      <c r="A2" s="58"/>
      <c r="B2" s="58"/>
      <c r="C2" s="66"/>
      <c r="D2" s="66"/>
      <c r="E2" s="66"/>
      <c r="F2" s="118"/>
      <c r="G2" s="58"/>
      <c r="H2" s="67"/>
      <c r="I2" s="67"/>
      <c r="J2" s="58"/>
      <c r="K2" s="58"/>
      <c r="L2" s="58"/>
      <c r="M2" s="58"/>
      <c r="N2" s="58"/>
      <c r="O2" s="58"/>
      <c r="P2" s="58"/>
      <c r="Q2" s="58"/>
      <c r="R2" s="58"/>
      <c r="S2" s="58"/>
      <c r="T2" s="58"/>
      <c r="U2" s="58"/>
      <c r="V2" s="58"/>
      <c r="W2" s="58"/>
      <c r="X2" s="58"/>
      <c r="Y2" s="58"/>
      <c r="Z2" s="58"/>
    </row>
    <row r="3" spans="1:26" ht="30">
      <c r="A3" s="58"/>
      <c r="B3" s="50" t="s">
        <v>161</v>
      </c>
      <c r="C3" s="66"/>
      <c r="D3" s="66"/>
      <c r="E3" s="66"/>
      <c r="F3" s="118"/>
      <c r="G3" s="58"/>
      <c r="H3" s="67"/>
      <c r="I3" s="67"/>
      <c r="J3" s="58"/>
      <c r="K3" s="58"/>
      <c r="L3" s="58"/>
      <c r="M3" s="58"/>
      <c r="N3" s="58"/>
      <c r="O3" s="58"/>
      <c r="P3" s="58"/>
      <c r="Q3" s="58"/>
      <c r="R3" s="58"/>
      <c r="S3" s="58"/>
      <c r="T3" s="58"/>
      <c r="U3" s="58"/>
      <c r="V3" s="58"/>
      <c r="W3" s="58"/>
      <c r="X3" s="58"/>
      <c r="Y3" s="58"/>
      <c r="Z3" s="58"/>
    </row>
    <row r="4" spans="1:26" ht="13.5">
      <c r="A4" s="58"/>
      <c r="B4" s="68" t="s">
        <v>73</v>
      </c>
      <c r="C4" s="70"/>
      <c r="D4" s="70"/>
      <c r="E4" s="70"/>
      <c r="F4" s="118"/>
      <c r="G4" s="58"/>
      <c r="H4" s="67"/>
      <c r="I4" s="67"/>
      <c r="J4" s="58"/>
      <c r="K4" s="58"/>
      <c r="L4" s="58"/>
      <c r="M4" s="58"/>
      <c r="N4" s="58"/>
      <c r="O4" s="58"/>
      <c r="P4" s="58"/>
      <c r="Q4" s="58"/>
      <c r="R4" s="58"/>
      <c r="S4" s="58"/>
      <c r="T4" s="58"/>
      <c r="U4" s="58"/>
      <c r="V4" s="58"/>
      <c r="W4" s="58"/>
      <c r="X4" s="58"/>
      <c r="Y4" s="58"/>
      <c r="Z4" s="58"/>
    </row>
    <row r="5" spans="1:26" ht="12.75">
      <c r="A5" s="58"/>
      <c r="B5" s="60"/>
      <c r="C5" s="70"/>
      <c r="D5" s="70"/>
      <c r="E5" s="70"/>
      <c r="F5" s="118"/>
      <c r="G5" s="58"/>
      <c r="H5" s="67"/>
      <c r="I5" s="67"/>
      <c r="J5" s="58"/>
      <c r="K5" s="58"/>
      <c r="L5" s="58"/>
      <c r="M5" s="58"/>
      <c r="N5" s="58"/>
      <c r="O5" s="58"/>
      <c r="P5" s="58"/>
      <c r="Q5" s="58"/>
      <c r="R5" s="58"/>
      <c r="S5" s="58"/>
      <c r="T5" s="58"/>
      <c r="U5" s="58"/>
      <c r="V5" s="58"/>
      <c r="W5" s="58"/>
      <c r="X5" s="58"/>
      <c r="Y5" s="58"/>
      <c r="Z5" s="58"/>
    </row>
    <row r="6" spans="1:26" ht="12.75" customHeight="1">
      <c r="A6" s="58"/>
      <c r="B6" s="69" t="s">
        <v>72</v>
      </c>
      <c r="C6" s="398" t="s">
        <v>150</v>
      </c>
      <c r="D6" s="398"/>
      <c r="E6" s="399"/>
      <c r="F6" s="399"/>
      <c r="G6" s="399"/>
      <c r="H6" s="399"/>
      <c r="I6" s="399"/>
      <c r="J6" s="58"/>
      <c r="K6" s="58"/>
      <c r="L6" s="58"/>
      <c r="M6" s="58"/>
      <c r="N6" s="58"/>
      <c r="O6" s="58"/>
      <c r="P6" s="58"/>
      <c r="Q6" s="58"/>
      <c r="R6" s="58"/>
      <c r="S6" s="58"/>
      <c r="T6" s="58"/>
      <c r="U6" s="58"/>
      <c r="V6" s="58"/>
      <c r="W6" s="58"/>
      <c r="X6" s="58"/>
      <c r="Y6" s="58"/>
      <c r="Z6" s="58"/>
    </row>
    <row r="7" spans="1:26" ht="12.75" customHeight="1" thickBot="1">
      <c r="A7" s="58"/>
      <c r="B7" s="60"/>
      <c r="C7" s="70"/>
      <c r="D7" s="70"/>
      <c r="E7" s="70"/>
      <c r="F7" s="118"/>
      <c r="G7" s="58"/>
      <c r="H7" s="67"/>
      <c r="I7" s="67"/>
      <c r="J7" s="58"/>
      <c r="K7" s="58"/>
      <c r="L7" s="58"/>
      <c r="M7" s="58"/>
      <c r="N7" s="58"/>
      <c r="O7" s="58"/>
      <c r="P7" s="58"/>
      <c r="Q7" s="58"/>
      <c r="R7" s="58"/>
      <c r="S7" s="58"/>
      <c r="T7" s="58"/>
      <c r="U7" s="58"/>
      <c r="V7" s="58"/>
      <c r="W7" s="58"/>
      <c r="X7" s="58"/>
      <c r="Y7" s="58"/>
      <c r="Z7" s="58"/>
    </row>
    <row r="8" spans="1:26" s="14" customFormat="1" ht="12">
      <c r="A8" s="63"/>
      <c r="B8" s="12"/>
      <c r="C8" s="41" t="s">
        <v>120</v>
      </c>
      <c r="D8" s="41"/>
      <c r="E8" s="41"/>
      <c r="F8" s="119"/>
      <c r="G8" s="13" t="s">
        <v>68</v>
      </c>
      <c r="H8" s="31"/>
      <c r="I8" s="32"/>
      <c r="J8" s="63"/>
      <c r="K8" s="63"/>
      <c r="L8" s="63"/>
      <c r="M8" s="63"/>
      <c r="N8" s="63"/>
      <c r="O8" s="63"/>
      <c r="P8" s="63"/>
      <c r="Q8" s="63"/>
      <c r="R8" s="63"/>
      <c r="S8" s="63"/>
      <c r="T8" s="63"/>
      <c r="U8" s="63"/>
      <c r="V8" s="63"/>
      <c r="W8" s="63"/>
      <c r="X8" s="63"/>
      <c r="Y8" s="63"/>
      <c r="Z8" s="63"/>
    </row>
    <row r="9" spans="1:26" s="18" customFormat="1" ht="36.75">
      <c r="A9" s="64"/>
      <c r="B9" s="15" t="s">
        <v>142</v>
      </c>
      <c r="C9" s="42" t="s">
        <v>57</v>
      </c>
      <c r="D9" s="42" t="s">
        <v>230</v>
      </c>
      <c r="E9" s="42" t="s">
        <v>124</v>
      </c>
      <c r="F9" s="42" t="s">
        <v>195</v>
      </c>
      <c r="G9" s="17" t="s">
        <v>143</v>
      </c>
      <c r="H9" s="33" t="s">
        <v>144</v>
      </c>
      <c r="I9" s="35" t="s">
        <v>201</v>
      </c>
      <c r="J9" s="64"/>
      <c r="K9" s="64"/>
      <c r="L9" s="64"/>
      <c r="M9" s="64"/>
      <c r="N9" s="64"/>
      <c r="O9" s="64"/>
      <c r="P9" s="64"/>
      <c r="Q9" s="64"/>
      <c r="R9" s="64"/>
      <c r="S9" s="64"/>
      <c r="T9" s="64"/>
      <c r="U9" s="64"/>
      <c r="V9" s="64"/>
      <c r="W9" s="64"/>
      <c r="X9" s="64"/>
      <c r="Y9" s="64"/>
      <c r="Z9" s="64"/>
    </row>
    <row r="10" spans="1:26" s="27" customFormat="1" ht="11.25">
      <c r="A10" s="65"/>
      <c r="B10" s="23"/>
      <c r="C10" s="24"/>
      <c r="D10" s="52" t="e">
        <f>C10*(HLOOKUP("Electricity",'Energy Conv Factors'!$A$6:$M$17,'General Info'!$E$7,FALSE))/1000</f>
        <v>#VALUE!</v>
      </c>
      <c r="E10" s="51"/>
      <c r="F10" s="120" t="e">
        <f>C10*(HLOOKUP('General Info'!$C$6,'Electricity factors'!$B$3:$N$26,'General Info'!$D$7,TRUE))/1000</f>
        <v>#N/A</v>
      </c>
      <c r="G10" s="53"/>
      <c r="H10" s="36" t="e">
        <f aca="true" t="shared" si="0" ref="H10:H54">E10/G10</f>
        <v>#DIV/0!</v>
      </c>
      <c r="I10" s="37" t="e">
        <f>F10/G10</f>
        <v>#N/A</v>
      </c>
      <c r="J10" s="65"/>
      <c r="K10" s="65"/>
      <c r="L10" s="65"/>
      <c r="M10" s="65"/>
      <c r="N10" s="65"/>
      <c r="O10" s="65"/>
      <c r="P10" s="65"/>
      <c r="Q10" s="65"/>
      <c r="R10" s="65"/>
      <c r="S10" s="65"/>
      <c r="T10" s="65"/>
      <c r="U10" s="65"/>
      <c r="V10" s="65"/>
      <c r="W10" s="65"/>
      <c r="X10" s="65"/>
      <c r="Y10" s="65"/>
      <c r="Z10" s="65"/>
    </row>
    <row r="11" spans="1:26" s="27" customFormat="1" ht="11.25">
      <c r="A11" s="65"/>
      <c r="B11" s="23"/>
      <c r="C11" s="24"/>
      <c r="D11" s="52" t="e">
        <f>C11*(HLOOKUP("Electricity",'Energy Conv Factors'!$A$6:$M$17,'General Info'!$E$7,FALSE))/1000</f>
        <v>#VALUE!</v>
      </c>
      <c r="E11" s="51"/>
      <c r="F11" s="120" t="e">
        <f>C11*(HLOOKUP('General Info'!$C$6,'Electricity factors'!$B$3:$N$26,'General Info'!$D$7,TRUE))/1000</f>
        <v>#N/A</v>
      </c>
      <c r="G11" s="53"/>
      <c r="H11" s="36" t="e">
        <f t="shared" si="0"/>
        <v>#DIV/0!</v>
      </c>
      <c r="I11" s="37" t="e">
        <f aca="true" t="shared" si="1" ref="I11:I53">F11/G11</f>
        <v>#N/A</v>
      </c>
      <c r="J11" s="65"/>
      <c r="K11" s="65"/>
      <c r="L11" s="65"/>
      <c r="M11" s="65"/>
      <c r="N11" s="65"/>
      <c r="O11" s="65"/>
      <c r="P11" s="65"/>
      <c r="Q11" s="65"/>
      <c r="R11" s="65"/>
      <c r="S11" s="65"/>
      <c r="T11" s="65"/>
      <c r="U11" s="65"/>
      <c r="V11" s="65"/>
      <c r="W11" s="65"/>
      <c r="X11" s="65"/>
      <c r="Y11" s="65"/>
      <c r="Z11" s="65"/>
    </row>
    <row r="12" spans="1:26" s="27" customFormat="1" ht="11.25">
      <c r="A12" s="65"/>
      <c r="B12" s="23"/>
      <c r="C12" s="24"/>
      <c r="D12" s="52" t="e">
        <f>C12*(HLOOKUP("Electricity",'Energy Conv Factors'!$A$6:$M$17,'General Info'!$E$7,FALSE))/1000</f>
        <v>#VALUE!</v>
      </c>
      <c r="E12" s="51"/>
      <c r="F12" s="120" t="e">
        <f>C12*(HLOOKUP('General Info'!$C$6,'Electricity factors'!$B$3:$N$26,'General Info'!$D$7,TRUE))/1000</f>
        <v>#N/A</v>
      </c>
      <c r="G12" s="53"/>
      <c r="H12" s="36" t="e">
        <f t="shared" si="0"/>
        <v>#DIV/0!</v>
      </c>
      <c r="I12" s="37" t="e">
        <f t="shared" si="1"/>
        <v>#N/A</v>
      </c>
      <c r="J12" s="65"/>
      <c r="K12" s="65"/>
      <c r="L12" s="65"/>
      <c r="M12" s="65"/>
      <c r="N12" s="65"/>
      <c r="O12" s="65"/>
      <c r="P12" s="65"/>
      <c r="Q12" s="65"/>
      <c r="R12" s="65"/>
      <c r="S12" s="65"/>
      <c r="T12" s="65"/>
      <c r="U12" s="65"/>
      <c r="V12" s="65"/>
      <c r="W12" s="65"/>
      <c r="X12" s="65"/>
      <c r="Y12" s="65"/>
      <c r="Z12" s="65"/>
    </row>
    <row r="13" spans="1:26" s="27" customFormat="1" ht="11.25">
      <c r="A13" s="65"/>
      <c r="B13" s="23"/>
      <c r="C13" s="24"/>
      <c r="D13" s="52" t="e">
        <f>C13*(HLOOKUP("Electricity",'Energy Conv Factors'!$A$6:$M$17,'General Info'!$E$7,FALSE))/1000</f>
        <v>#VALUE!</v>
      </c>
      <c r="E13" s="51"/>
      <c r="F13" s="120" t="e">
        <f>C13*(HLOOKUP('General Info'!$C$6,'Electricity factors'!$B$3:$N$26,'General Info'!$D$7,TRUE))/1000</f>
        <v>#N/A</v>
      </c>
      <c r="G13" s="53"/>
      <c r="H13" s="36" t="e">
        <f t="shared" si="0"/>
        <v>#DIV/0!</v>
      </c>
      <c r="I13" s="37" t="e">
        <f t="shared" si="1"/>
        <v>#N/A</v>
      </c>
      <c r="J13" s="65"/>
      <c r="K13" s="65"/>
      <c r="L13" s="65"/>
      <c r="M13" s="65"/>
      <c r="N13" s="65"/>
      <c r="O13" s="65"/>
      <c r="P13" s="65"/>
      <c r="Q13" s="65"/>
      <c r="R13" s="65"/>
      <c r="S13" s="65"/>
      <c r="T13" s="65"/>
      <c r="U13" s="65"/>
      <c r="V13" s="65"/>
      <c r="W13" s="65"/>
      <c r="X13" s="65"/>
      <c r="Y13" s="65"/>
      <c r="Z13" s="65"/>
    </row>
    <row r="14" spans="1:26" s="27" customFormat="1" ht="11.25">
      <c r="A14" s="65"/>
      <c r="B14" s="23"/>
      <c r="C14" s="24"/>
      <c r="D14" s="52" t="e">
        <f>C14*(HLOOKUP("Electricity",'Energy Conv Factors'!$A$6:$M$17,'General Info'!$E$7,FALSE))/1000</f>
        <v>#VALUE!</v>
      </c>
      <c r="E14" s="51"/>
      <c r="F14" s="120" t="e">
        <f>C14*(HLOOKUP('General Info'!$C$6,'Electricity factors'!$B$3:$N$26,'General Info'!$D$7,TRUE))/1000</f>
        <v>#N/A</v>
      </c>
      <c r="G14" s="53"/>
      <c r="H14" s="36" t="e">
        <f t="shared" si="0"/>
        <v>#DIV/0!</v>
      </c>
      <c r="I14" s="37" t="e">
        <f t="shared" si="1"/>
        <v>#N/A</v>
      </c>
      <c r="J14" s="65"/>
      <c r="K14" s="65"/>
      <c r="L14" s="65"/>
      <c r="M14" s="65"/>
      <c r="N14" s="65"/>
      <c r="O14" s="65"/>
      <c r="P14" s="65"/>
      <c r="Q14" s="65"/>
      <c r="R14" s="65"/>
      <c r="S14" s="65"/>
      <c r="T14" s="65"/>
      <c r="U14" s="65"/>
      <c r="V14" s="65"/>
      <c r="W14" s="65"/>
      <c r="X14" s="65"/>
      <c r="Y14" s="65"/>
      <c r="Z14" s="65"/>
    </row>
    <row r="15" spans="1:26" s="27" customFormat="1" ht="11.25">
      <c r="A15" s="65"/>
      <c r="B15" s="23"/>
      <c r="C15" s="24"/>
      <c r="D15" s="52" t="e">
        <f>C15*(HLOOKUP("Electricity",'Energy Conv Factors'!$A$6:$M$17,'General Info'!$E$7,FALSE))/1000</f>
        <v>#VALUE!</v>
      </c>
      <c r="E15" s="51"/>
      <c r="F15" s="120" t="e">
        <f>C15*(HLOOKUP('General Info'!$C$6,'Electricity factors'!$B$3:$N$26,'General Info'!$D$7,TRUE))/1000</f>
        <v>#N/A</v>
      </c>
      <c r="G15" s="53"/>
      <c r="H15" s="36" t="e">
        <f t="shared" si="0"/>
        <v>#DIV/0!</v>
      </c>
      <c r="I15" s="37" t="e">
        <f t="shared" si="1"/>
        <v>#N/A</v>
      </c>
      <c r="J15" s="65"/>
      <c r="K15" s="65"/>
      <c r="L15" s="65"/>
      <c r="M15" s="65"/>
      <c r="N15" s="65"/>
      <c r="O15" s="65"/>
      <c r="P15" s="65"/>
      <c r="Q15" s="65"/>
      <c r="R15" s="65"/>
      <c r="S15" s="65"/>
      <c r="T15" s="65"/>
      <c r="U15" s="65"/>
      <c r="V15" s="65"/>
      <c r="W15" s="65"/>
      <c r="X15" s="65"/>
      <c r="Y15" s="65"/>
      <c r="Z15" s="65"/>
    </row>
    <row r="16" spans="1:26" s="27" customFormat="1" ht="11.25">
      <c r="A16" s="65"/>
      <c r="B16" s="23"/>
      <c r="C16" s="24"/>
      <c r="D16" s="52" t="e">
        <f>C16*(HLOOKUP("Electricity",'Energy Conv Factors'!$A$6:$M$17,'General Info'!$E$7,FALSE))/1000</f>
        <v>#VALUE!</v>
      </c>
      <c r="E16" s="51"/>
      <c r="F16" s="120" t="e">
        <f>C16*(HLOOKUP('General Info'!$C$6,'Electricity factors'!$B$3:$N$26,'General Info'!$D$7,TRUE))/1000</f>
        <v>#N/A</v>
      </c>
      <c r="G16" s="53"/>
      <c r="H16" s="36" t="e">
        <f t="shared" si="0"/>
        <v>#DIV/0!</v>
      </c>
      <c r="I16" s="37" t="e">
        <f t="shared" si="1"/>
        <v>#N/A</v>
      </c>
      <c r="J16" s="65"/>
      <c r="K16" s="65"/>
      <c r="L16" s="65"/>
      <c r="M16" s="65"/>
      <c r="N16" s="65"/>
      <c r="O16" s="65"/>
      <c r="P16" s="65"/>
      <c r="Q16" s="65"/>
      <c r="R16" s="65"/>
      <c r="S16" s="65"/>
      <c r="T16" s="65"/>
      <c r="U16" s="65"/>
      <c r="V16" s="65"/>
      <c r="W16" s="65"/>
      <c r="X16" s="65"/>
      <c r="Y16" s="65"/>
      <c r="Z16" s="65"/>
    </row>
    <row r="17" spans="1:26" s="27" customFormat="1" ht="11.25">
      <c r="A17" s="65"/>
      <c r="B17" s="23"/>
      <c r="C17" s="24"/>
      <c r="D17" s="52" t="e">
        <f>C17*(HLOOKUP("Electricity",'Energy Conv Factors'!$A$6:$M$17,'General Info'!$E$7,FALSE))/1000</f>
        <v>#VALUE!</v>
      </c>
      <c r="E17" s="51"/>
      <c r="F17" s="120" t="e">
        <f>C17*(HLOOKUP('General Info'!$C$6,'Electricity factors'!$B$3:$N$26,'General Info'!$D$7,TRUE))/1000</f>
        <v>#N/A</v>
      </c>
      <c r="G17" s="53"/>
      <c r="H17" s="36" t="e">
        <f t="shared" si="0"/>
        <v>#DIV/0!</v>
      </c>
      <c r="I17" s="37" t="e">
        <f t="shared" si="1"/>
        <v>#N/A</v>
      </c>
      <c r="J17" s="65"/>
      <c r="K17" s="65"/>
      <c r="L17" s="65"/>
      <c r="M17" s="65"/>
      <c r="N17" s="65"/>
      <c r="O17" s="65"/>
      <c r="P17" s="65"/>
      <c r="Q17" s="65"/>
      <c r="R17" s="65"/>
      <c r="S17" s="65"/>
      <c r="T17" s="65"/>
      <c r="U17" s="65"/>
      <c r="V17" s="65"/>
      <c r="W17" s="65"/>
      <c r="X17" s="65"/>
      <c r="Y17" s="65"/>
      <c r="Z17" s="65"/>
    </row>
    <row r="18" spans="1:26" s="27" customFormat="1" ht="11.25">
      <c r="A18" s="65"/>
      <c r="B18" s="23"/>
      <c r="C18" s="24"/>
      <c r="D18" s="52" t="e">
        <f>C18*(HLOOKUP("Electricity",'Energy Conv Factors'!$A$6:$M$17,'General Info'!$E$7,FALSE))/1000</f>
        <v>#VALUE!</v>
      </c>
      <c r="E18" s="51"/>
      <c r="F18" s="120" t="e">
        <f>C18*(HLOOKUP('General Info'!$C$6,'Electricity factors'!$B$3:$N$26,'General Info'!$D$7,TRUE))/1000</f>
        <v>#N/A</v>
      </c>
      <c r="G18" s="53"/>
      <c r="H18" s="36" t="e">
        <f t="shared" si="0"/>
        <v>#DIV/0!</v>
      </c>
      <c r="I18" s="37" t="e">
        <f t="shared" si="1"/>
        <v>#N/A</v>
      </c>
      <c r="J18" s="65"/>
      <c r="K18" s="65"/>
      <c r="L18" s="65"/>
      <c r="M18" s="65"/>
      <c r="N18" s="65"/>
      <c r="O18" s="65"/>
      <c r="P18" s="65"/>
      <c r="Q18" s="65"/>
      <c r="R18" s="65"/>
      <c r="S18" s="65"/>
      <c r="T18" s="65"/>
      <c r="U18" s="65"/>
      <c r="V18" s="65"/>
      <c r="W18" s="65"/>
      <c r="X18" s="65"/>
      <c r="Y18" s="65"/>
      <c r="Z18" s="65"/>
    </row>
    <row r="19" spans="1:26" s="27" customFormat="1" ht="11.25">
      <c r="A19" s="65"/>
      <c r="B19" s="23"/>
      <c r="C19" s="24"/>
      <c r="D19" s="52" t="e">
        <f>C19*(HLOOKUP("Electricity",'Energy Conv Factors'!$A$6:$M$17,'General Info'!$E$7,FALSE))/1000</f>
        <v>#VALUE!</v>
      </c>
      <c r="E19" s="51"/>
      <c r="F19" s="120" t="e">
        <f>C19*(HLOOKUP('General Info'!$C$6,'Electricity factors'!$B$3:$N$26,'General Info'!$D$7,TRUE))/1000</f>
        <v>#N/A</v>
      </c>
      <c r="G19" s="53"/>
      <c r="H19" s="36" t="e">
        <f t="shared" si="0"/>
        <v>#DIV/0!</v>
      </c>
      <c r="I19" s="37" t="e">
        <f t="shared" si="1"/>
        <v>#N/A</v>
      </c>
      <c r="J19" s="65"/>
      <c r="K19" s="65"/>
      <c r="L19" s="65"/>
      <c r="M19" s="65"/>
      <c r="N19" s="65"/>
      <c r="O19" s="65"/>
      <c r="P19" s="65"/>
      <c r="Q19" s="65"/>
      <c r="R19" s="65"/>
      <c r="S19" s="65"/>
      <c r="T19" s="65"/>
      <c r="U19" s="65"/>
      <c r="V19" s="65"/>
      <c r="W19" s="65"/>
      <c r="X19" s="65"/>
      <c r="Y19" s="65"/>
      <c r="Z19" s="65"/>
    </row>
    <row r="20" spans="1:26" s="27" customFormat="1" ht="11.25">
      <c r="A20" s="65"/>
      <c r="B20" s="23"/>
      <c r="C20" s="24"/>
      <c r="D20" s="52" t="e">
        <f>C20*(HLOOKUP("Electricity",'Energy Conv Factors'!$A$6:$M$17,'General Info'!$E$7,FALSE))/1000</f>
        <v>#VALUE!</v>
      </c>
      <c r="E20" s="51"/>
      <c r="F20" s="120" t="e">
        <f>C20*(HLOOKUP('General Info'!$C$6,'Electricity factors'!$B$3:$N$26,'General Info'!$D$7,TRUE))/1000</f>
        <v>#N/A</v>
      </c>
      <c r="G20" s="53"/>
      <c r="H20" s="36" t="e">
        <f t="shared" si="0"/>
        <v>#DIV/0!</v>
      </c>
      <c r="I20" s="37" t="e">
        <f t="shared" si="1"/>
        <v>#N/A</v>
      </c>
      <c r="J20" s="65"/>
      <c r="K20" s="65"/>
      <c r="L20" s="65"/>
      <c r="M20" s="65"/>
      <c r="N20" s="65"/>
      <c r="O20" s="65"/>
      <c r="P20" s="65"/>
      <c r="Q20" s="65"/>
      <c r="R20" s="65"/>
      <c r="S20" s="65"/>
      <c r="T20" s="65"/>
      <c r="U20" s="65"/>
      <c r="V20" s="65"/>
      <c r="W20" s="65"/>
      <c r="X20" s="65"/>
      <c r="Y20" s="65"/>
      <c r="Z20" s="65"/>
    </row>
    <row r="21" spans="1:26" s="27" customFormat="1" ht="11.25">
      <c r="A21" s="65"/>
      <c r="B21" s="23"/>
      <c r="C21" s="24"/>
      <c r="D21" s="52" t="e">
        <f>C21*(HLOOKUP("Electricity",'Energy Conv Factors'!$A$6:$M$17,'General Info'!$E$7,FALSE))/1000</f>
        <v>#VALUE!</v>
      </c>
      <c r="E21" s="51"/>
      <c r="F21" s="120" t="e">
        <f>C21*(HLOOKUP('General Info'!$C$6,'Electricity factors'!$B$3:$N$26,'General Info'!$D$7,TRUE))/1000</f>
        <v>#N/A</v>
      </c>
      <c r="G21" s="53"/>
      <c r="H21" s="36" t="e">
        <f t="shared" si="0"/>
        <v>#DIV/0!</v>
      </c>
      <c r="I21" s="37" t="e">
        <f t="shared" si="1"/>
        <v>#N/A</v>
      </c>
      <c r="J21" s="65"/>
      <c r="K21" s="65"/>
      <c r="L21" s="65"/>
      <c r="M21" s="65"/>
      <c r="N21" s="65"/>
      <c r="O21" s="65"/>
      <c r="P21" s="65"/>
      <c r="Q21" s="65"/>
      <c r="R21" s="65"/>
      <c r="S21" s="65"/>
      <c r="T21" s="65"/>
      <c r="U21" s="65"/>
      <c r="V21" s="65"/>
      <c r="W21" s="65"/>
      <c r="X21" s="65"/>
      <c r="Y21" s="65"/>
      <c r="Z21" s="65"/>
    </row>
    <row r="22" spans="1:26" s="27" customFormat="1" ht="11.25">
      <c r="A22" s="65"/>
      <c r="B22" s="23"/>
      <c r="C22" s="24"/>
      <c r="D22" s="52" t="e">
        <f>C22*(HLOOKUP("Electricity",'Energy Conv Factors'!$A$6:$M$17,'General Info'!$E$7,FALSE))/1000</f>
        <v>#VALUE!</v>
      </c>
      <c r="E22" s="51"/>
      <c r="F22" s="120" t="e">
        <f>C22*(HLOOKUP('General Info'!$C$6,'Electricity factors'!$B$3:$N$26,'General Info'!$D$7,TRUE))/1000</f>
        <v>#N/A</v>
      </c>
      <c r="G22" s="53"/>
      <c r="H22" s="36" t="e">
        <f t="shared" si="0"/>
        <v>#DIV/0!</v>
      </c>
      <c r="I22" s="37" t="e">
        <f t="shared" si="1"/>
        <v>#N/A</v>
      </c>
      <c r="J22" s="65"/>
      <c r="K22" s="65"/>
      <c r="L22" s="65"/>
      <c r="M22" s="65"/>
      <c r="N22" s="65"/>
      <c r="O22" s="65"/>
      <c r="P22" s="65"/>
      <c r="Q22" s="65"/>
      <c r="R22" s="65"/>
      <c r="S22" s="65"/>
      <c r="T22" s="65"/>
      <c r="U22" s="65"/>
      <c r="V22" s="65"/>
      <c r="W22" s="65"/>
      <c r="X22" s="65"/>
      <c r="Y22" s="65"/>
      <c r="Z22" s="65"/>
    </row>
    <row r="23" spans="1:26" s="27" customFormat="1" ht="11.25">
      <c r="A23" s="65"/>
      <c r="B23" s="23"/>
      <c r="C23" s="24"/>
      <c r="D23" s="52" t="e">
        <f>C23*(HLOOKUP("Electricity",'Energy Conv Factors'!$A$6:$M$17,'General Info'!$E$7,FALSE))/1000</f>
        <v>#VALUE!</v>
      </c>
      <c r="E23" s="51"/>
      <c r="F23" s="120" t="e">
        <f>C23*(HLOOKUP('General Info'!$C$6,'Electricity factors'!$B$3:$N$26,'General Info'!$D$7,TRUE))/1000</f>
        <v>#N/A</v>
      </c>
      <c r="G23" s="53"/>
      <c r="H23" s="36" t="e">
        <f t="shared" si="0"/>
        <v>#DIV/0!</v>
      </c>
      <c r="I23" s="37" t="e">
        <f t="shared" si="1"/>
        <v>#N/A</v>
      </c>
      <c r="J23" s="65"/>
      <c r="K23" s="65"/>
      <c r="L23" s="65"/>
      <c r="M23" s="65"/>
      <c r="N23" s="65"/>
      <c r="O23" s="65"/>
      <c r="P23" s="65"/>
      <c r="Q23" s="65"/>
      <c r="R23" s="65"/>
      <c r="S23" s="65"/>
      <c r="T23" s="65"/>
      <c r="U23" s="65"/>
      <c r="V23" s="65"/>
      <c r="W23" s="65"/>
      <c r="X23" s="65"/>
      <c r="Y23" s="65"/>
      <c r="Z23" s="65"/>
    </row>
    <row r="24" spans="1:26" s="27" customFormat="1" ht="11.25">
      <c r="A24" s="65"/>
      <c r="B24" s="23"/>
      <c r="C24" s="24"/>
      <c r="D24" s="52" t="e">
        <f>C24*(HLOOKUP("Electricity",'Energy Conv Factors'!$A$6:$M$17,'General Info'!$E$7,FALSE))/1000</f>
        <v>#VALUE!</v>
      </c>
      <c r="E24" s="51"/>
      <c r="F24" s="120" t="e">
        <f>C24*(HLOOKUP('General Info'!$C$6,'Electricity factors'!$B$3:$N$26,'General Info'!$D$7,TRUE))/1000</f>
        <v>#N/A</v>
      </c>
      <c r="G24" s="53"/>
      <c r="H24" s="36" t="e">
        <f t="shared" si="0"/>
        <v>#DIV/0!</v>
      </c>
      <c r="I24" s="37" t="e">
        <f t="shared" si="1"/>
        <v>#N/A</v>
      </c>
      <c r="J24" s="65"/>
      <c r="K24" s="65"/>
      <c r="L24" s="65"/>
      <c r="M24" s="65"/>
      <c r="N24" s="65"/>
      <c r="O24" s="65"/>
      <c r="P24" s="65"/>
      <c r="Q24" s="65"/>
      <c r="R24" s="65"/>
      <c r="S24" s="65"/>
      <c r="T24" s="65"/>
      <c r="U24" s="65"/>
      <c r="V24" s="65"/>
      <c r="W24" s="65"/>
      <c r="X24" s="65"/>
      <c r="Y24" s="65"/>
      <c r="Z24" s="65"/>
    </row>
    <row r="25" spans="1:26" s="27" customFormat="1" ht="11.25">
      <c r="A25" s="65"/>
      <c r="B25" s="23"/>
      <c r="C25" s="24"/>
      <c r="D25" s="52" t="e">
        <f>C25*(HLOOKUP("Electricity",'Energy Conv Factors'!$A$6:$M$17,'General Info'!$E$7,FALSE))/1000</f>
        <v>#VALUE!</v>
      </c>
      <c r="E25" s="51"/>
      <c r="F25" s="120" t="e">
        <f>C25*(HLOOKUP('General Info'!$C$6,'Electricity factors'!$B$3:$N$26,'General Info'!$D$7,TRUE))/1000</f>
        <v>#N/A</v>
      </c>
      <c r="G25" s="53"/>
      <c r="H25" s="36" t="e">
        <f t="shared" si="0"/>
        <v>#DIV/0!</v>
      </c>
      <c r="I25" s="37" t="e">
        <f t="shared" si="1"/>
        <v>#N/A</v>
      </c>
      <c r="J25" s="65"/>
      <c r="K25" s="65"/>
      <c r="L25" s="65"/>
      <c r="M25" s="65"/>
      <c r="N25" s="65"/>
      <c r="O25" s="65"/>
      <c r="P25" s="65"/>
      <c r="Q25" s="65"/>
      <c r="R25" s="65"/>
      <c r="S25" s="65"/>
      <c r="T25" s="65"/>
      <c r="U25" s="65"/>
      <c r="V25" s="65"/>
      <c r="W25" s="65"/>
      <c r="X25" s="65"/>
      <c r="Y25" s="65"/>
      <c r="Z25" s="65"/>
    </row>
    <row r="26" spans="1:26" s="27" customFormat="1" ht="11.25">
      <c r="A26" s="65"/>
      <c r="B26" s="23"/>
      <c r="C26" s="24"/>
      <c r="D26" s="52" t="e">
        <f>C26*(HLOOKUP("Electricity",'Energy Conv Factors'!$A$6:$M$17,'General Info'!$E$7,FALSE))/1000</f>
        <v>#VALUE!</v>
      </c>
      <c r="E26" s="51"/>
      <c r="F26" s="120" t="e">
        <f>C26*(HLOOKUP('General Info'!$C$6,'Electricity factors'!$B$3:$N$26,'General Info'!$D$7,TRUE))/1000</f>
        <v>#N/A</v>
      </c>
      <c r="G26" s="53"/>
      <c r="H26" s="36" t="e">
        <f t="shared" si="0"/>
        <v>#DIV/0!</v>
      </c>
      <c r="I26" s="37" t="e">
        <f t="shared" si="1"/>
        <v>#N/A</v>
      </c>
      <c r="J26" s="65"/>
      <c r="K26" s="65"/>
      <c r="L26" s="65"/>
      <c r="M26" s="65"/>
      <c r="N26" s="65"/>
      <c r="O26" s="65"/>
      <c r="P26" s="65"/>
      <c r="Q26" s="65"/>
      <c r="R26" s="65"/>
      <c r="S26" s="65"/>
      <c r="T26" s="65"/>
      <c r="U26" s="65"/>
      <c r="V26" s="65"/>
      <c r="W26" s="65"/>
      <c r="X26" s="65"/>
      <c r="Y26" s="65"/>
      <c r="Z26" s="65"/>
    </row>
    <row r="27" spans="1:26" s="27" customFormat="1" ht="11.25">
      <c r="A27" s="65"/>
      <c r="B27" s="23"/>
      <c r="C27" s="24"/>
      <c r="D27" s="52" t="e">
        <f>C27*(HLOOKUP("Electricity",'Energy Conv Factors'!$A$6:$M$17,'General Info'!$E$7,FALSE))/1000</f>
        <v>#VALUE!</v>
      </c>
      <c r="E27" s="51"/>
      <c r="F27" s="120" t="e">
        <f>C27*(HLOOKUP('General Info'!$C$6,'Electricity factors'!$B$3:$N$26,'General Info'!$D$7,TRUE))/1000</f>
        <v>#N/A</v>
      </c>
      <c r="G27" s="53"/>
      <c r="H27" s="36" t="e">
        <f t="shared" si="0"/>
        <v>#DIV/0!</v>
      </c>
      <c r="I27" s="37" t="e">
        <f t="shared" si="1"/>
        <v>#N/A</v>
      </c>
      <c r="J27" s="65"/>
      <c r="K27" s="65"/>
      <c r="L27" s="65"/>
      <c r="M27" s="65"/>
      <c r="N27" s="65"/>
      <c r="O27" s="65"/>
      <c r="P27" s="65"/>
      <c r="Q27" s="65"/>
      <c r="R27" s="65"/>
      <c r="S27" s="65"/>
      <c r="T27" s="65"/>
      <c r="U27" s="65"/>
      <c r="V27" s="65"/>
      <c r="W27" s="65"/>
      <c r="X27" s="65"/>
      <c r="Y27" s="65"/>
      <c r="Z27" s="65"/>
    </row>
    <row r="28" spans="1:26" s="27" customFormat="1" ht="11.25">
      <c r="A28" s="65"/>
      <c r="B28" s="23"/>
      <c r="C28" s="24"/>
      <c r="D28" s="52" t="e">
        <f>C28*(HLOOKUP("Electricity",'Energy Conv Factors'!$A$6:$M$17,'General Info'!$E$7,FALSE))/1000</f>
        <v>#VALUE!</v>
      </c>
      <c r="E28" s="51"/>
      <c r="F28" s="120" t="e">
        <f>C28*(HLOOKUP('General Info'!$C$6,'Electricity factors'!$B$3:$N$26,'General Info'!$D$7,TRUE))/1000</f>
        <v>#N/A</v>
      </c>
      <c r="G28" s="53"/>
      <c r="H28" s="36" t="e">
        <f t="shared" si="0"/>
        <v>#DIV/0!</v>
      </c>
      <c r="I28" s="37" t="e">
        <f t="shared" si="1"/>
        <v>#N/A</v>
      </c>
      <c r="J28" s="65"/>
      <c r="K28" s="65"/>
      <c r="L28" s="65"/>
      <c r="M28" s="65"/>
      <c r="N28" s="65"/>
      <c r="O28" s="65"/>
      <c r="P28" s="65"/>
      <c r="Q28" s="65"/>
      <c r="R28" s="65"/>
      <c r="S28" s="65"/>
      <c r="T28" s="65"/>
      <c r="U28" s="65"/>
      <c r="V28" s="65"/>
      <c r="W28" s="65"/>
      <c r="X28" s="65"/>
      <c r="Y28" s="65"/>
      <c r="Z28" s="65"/>
    </row>
    <row r="29" spans="1:26" s="27" customFormat="1" ht="11.25">
      <c r="A29" s="65"/>
      <c r="B29" s="23"/>
      <c r="C29" s="24"/>
      <c r="D29" s="52" t="e">
        <f>C29*(HLOOKUP("Electricity",'Energy Conv Factors'!$A$6:$M$17,'General Info'!$E$7,FALSE))/1000</f>
        <v>#VALUE!</v>
      </c>
      <c r="E29" s="51"/>
      <c r="F29" s="120" t="e">
        <f>C29*(HLOOKUP('General Info'!$C$6,'Electricity factors'!$B$3:$N$26,'General Info'!$D$7,TRUE))/1000</f>
        <v>#N/A</v>
      </c>
      <c r="G29" s="53"/>
      <c r="H29" s="36" t="e">
        <f t="shared" si="0"/>
        <v>#DIV/0!</v>
      </c>
      <c r="I29" s="37" t="e">
        <f t="shared" si="1"/>
        <v>#N/A</v>
      </c>
      <c r="J29" s="65"/>
      <c r="K29" s="65"/>
      <c r="L29" s="65"/>
      <c r="M29" s="65"/>
      <c r="N29" s="65"/>
      <c r="O29" s="65"/>
      <c r="P29" s="65"/>
      <c r="Q29" s="65"/>
      <c r="R29" s="65"/>
      <c r="S29" s="65"/>
      <c r="T29" s="65"/>
      <c r="U29" s="65"/>
      <c r="V29" s="65"/>
      <c r="W29" s="65"/>
      <c r="X29" s="65"/>
      <c r="Y29" s="65"/>
      <c r="Z29" s="65"/>
    </row>
    <row r="30" spans="1:26" s="27" customFormat="1" ht="11.25">
      <c r="A30" s="65"/>
      <c r="B30" s="23"/>
      <c r="C30" s="24"/>
      <c r="D30" s="52" t="e">
        <f>C30*(HLOOKUP("Electricity",'Energy Conv Factors'!$A$6:$M$17,'General Info'!$E$7,FALSE))/1000</f>
        <v>#VALUE!</v>
      </c>
      <c r="E30" s="51"/>
      <c r="F30" s="120" t="e">
        <f>C30*(HLOOKUP('General Info'!$C$6,'Electricity factors'!$B$3:$N$26,'General Info'!$D$7,TRUE))/1000</f>
        <v>#N/A</v>
      </c>
      <c r="G30" s="53"/>
      <c r="H30" s="36" t="e">
        <f t="shared" si="0"/>
        <v>#DIV/0!</v>
      </c>
      <c r="I30" s="37" t="e">
        <f t="shared" si="1"/>
        <v>#N/A</v>
      </c>
      <c r="J30" s="65"/>
      <c r="K30" s="65"/>
      <c r="L30" s="65"/>
      <c r="M30" s="65"/>
      <c r="N30" s="65"/>
      <c r="O30" s="65"/>
      <c r="P30" s="65"/>
      <c r="Q30" s="65"/>
      <c r="R30" s="65"/>
      <c r="S30" s="65"/>
      <c r="T30" s="65"/>
      <c r="U30" s="65"/>
      <c r="V30" s="65"/>
      <c r="W30" s="65"/>
      <c r="X30" s="65"/>
      <c r="Y30" s="65"/>
      <c r="Z30" s="65"/>
    </row>
    <row r="31" spans="1:26" s="27" customFormat="1" ht="11.25">
      <c r="A31" s="65"/>
      <c r="B31" s="23"/>
      <c r="C31" s="24"/>
      <c r="D31" s="52" t="e">
        <f>C31*(HLOOKUP("Electricity",'Energy Conv Factors'!$A$6:$M$17,'General Info'!$E$7,FALSE))/1000</f>
        <v>#VALUE!</v>
      </c>
      <c r="E31" s="51"/>
      <c r="F31" s="120" t="e">
        <f>C31*(HLOOKUP('General Info'!$C$6,'Electricity factors'!$B$3:$N$26,'General Info'!$D$7,TRUE))/1000</f>
        <v>#N/A</v>
      </c>
      <c r="G31" s="53"/>
      <c r="H31" s="36" t="e">
        <f t="shared" si="0"/>
        <v>#DIV/0!</v>
      </c>
      <c r="I31" s="37" t="e">
        <f t="shared" si="1"/>
        <v>#N/A</v>
      </c>
      <c r="J31" s="65"/>
      <c r="K31" s="65"/>
      <c r="L31" s="65"/>
      <c r="M31" s="65"/>
      <c r="N31" s="65"/>
      <c r="O31" s="65"/>
      <c r="P31" s="65"/>
      <c r="Q31" s="65"/>
      <c r="R31" s="65"/>
      <c r="S31" s="65"/>
      <c r="T31" s="65"/>
      <c r="U31" s="65"/>
      <c r="V31" s="65"/>
      <c r="W31" s="65"/>
      <c r="X31" s="65"/>
      <c r="Y31" s="65"/>
      <c r="Z31" s="65"/>
    </row>
    <row r="32" spans="1:26" s="27" customFormat="1" ht="11.25">
      <c r="A32" s="65"/>
      <c r="B32" s="23"/>
      <c r="C32" s="24"/>
      <c r="D32" s="52" t="e">
        <f>C32*(HLOOKUP("Electricity",'Energy Conv Factors'!$A$6:$M$17,'General Info'!$E$7,FALSE))/1000</f>
        <v>#VALUE!</v>
      </c>
      <c r="E32" s="51"/>
      <c r="F32" s="120" t="e">
        <f>C32*(HLOOKUP('General Info'!$C$6,'Electricity factors'!$B$3:$N$26,'General Info'!$D$7,TRUE))/1000</f>
        <v>#N/A</v>
      </c>
      <c r="G32" s="53"/>
      <c r="H32" s="36" t="e">
        <f t="shared" si="0"/>
        <v>#DIV/0!</v>
      </c>
      <c r="I32" s="37" t="e">
        <f t="shared" si="1"/>
        <v>#N/A</v>
      </c>
      <c r="J32" s="65"/>
      <c r="K32" s="65"/>
      <c r="L32" s="65"/>
      <c r="M32" s="65"/>
      <c r="N32" s="65"/>
      <c r="O32" s="65"/>
      <c r="P32" s="65"/>
      <c r="Q32" s="65"/>
      <c r="R32" s="65"/>
      <c r="S32" s="65"/>
      <c r="T32" s="65"/>
      <c r="U32" s="65"/>
      <c r="V32" s="65"/>
      <c r="W32" s="65"/>
      <c r="X32" s="65"/>
      <c r="Y32" s="65"/>
      <c r="Z32" s="65"/>
    </row>
    <row r="33" spans="1:26" s="27" customFormat="1" ht="11.25">
      <c r="A33" s="65"/>
      <c r="B33" s="23"/>
      <c r="C33" s="24"/>
      <c r="D33" s="52" t="e">
        <f>C33*(HLOOKUP("Electricity",'Energy Conv Factors'!$A$6:$M$17,'General Info'!$E$7,FALSE))/1000</f>
        <v>#VALUE!</v>
      </c>
      <c r="E33" s="51"/>
      <c r="F33" s="120" t="e">
        <f>C33*(HLOOKUP('General Info'!$C$6,'Electricity factors'!$B$3:$N$26,'General Info'!$D$7,TRUE))/1000</f>
        <v>#N/A</v>
      </c>
      <c r="G33" s="53"/>
      <c r="H33" s="36" t="e">
        <f t="shared" si="0"/>
        <v>#DIV/0!</v>
      </c>
      <c r="I33" s="37" t="e">
        <f t="shared" si="1"/>
        <v>#N/A</v>
      </c>
      <c r="J33" s="65"/>
      <c r="K33" s="65"/>
      <c r="L33" s="65"/>
      <c r="M33" s="65"/>
      <c r="N33" s="65"/>
      <c r="O33" s="65"/>
      <c r="P33" s="65"/>
      <c r="Q33" s="65"/>
      <c r="R33" s="65"/>
      <c r="S33" s="65"/>
      <c r="T33" s="65"/>
      <c r="U33" s="65"/>
      <c r="V33" s="65"/>
      <c r="W33" s="65"/>
      <c r="X33" s="65"/>
      <c r="Y33" s="65"/>
      <c r="Z33" s="65"/>
    </row>
    <row r="34" spans="1:26" s="27" customFormat="1" ht="11.25">
      <c r="A34" s="65"/>
      <c r="B34" s="23"/>
      <c r="C34" s="24"/>
      <c r="D34" s="52" t="e">
        <f>C34*(HLOOKUP("Electricity",'Energy Conv Factors'!$A$6:$M$17,'General Info'!$E$7,FALSE))/1000</f>
        <v>#VALUE!</v>
      </c>
      <c r="E34" s="51"/>
      <c r="F34" s="120" t="e">
        <f>C34*(HLOOKUP('General Info'!$C$6,'Electricity factors'!$B$3:$N$26,'General Info'!$D$7,TRUE))/1000</f>
        <v>#N/A</v>
      </c>
      <c r="G34" s="53"/>
      <c r="H34" s="36" t="e">
        <f t="shared" si="0"/>
        <v>#DIV/0!</v>
      </c>
      <c r="I34" s="37" t="e">
        <f t="shared" si="1"/>
        <v>#N/A</v>
      </c>
      <c r="J34" s="65"/>
      <c r="K34" s="65"/>
      <c r="L34" s="65"/>
      <c r="M34" s="65"/>
      <c r="N34" s="65"/>
      <c r="O34" s="65"/>
      <c r="P34" s="65"/>
      <c r="Q34" s="65"/>
      <c r="R34" s="65"/>
      <c r="S34" s="65"/>
      <c r="T34" s="65"/>
      <c r="U34" s="65"/>
      <c r="V34" s="65"/>
      <c r="W34" s="65"/>
      <c r="X34" s="65"/>
      <c r="Y34" s="65"/>
      <c r="Z34" s="65"/>
    </row>
    <row r="35" spans="1:26" s="27" customFormat="1" ht="11.25">
      <c r="A35" s="65"/>
      <c r="B35" s="23"/>
      <c r="C35" s="24"/>
      <c r="D35" s="52" t="e">
        <f>C35*(HLOOKUP("Electricity",'Energy Conv Factors'!$A$6:$M$17,'General Info'!$E$7,FALSE))/1000</f>
        <v>#VALUE!</v>
      </c>
      <c r="E35" s="51"/>
      <c r="F35" s="120" t="e">
        <f>C35*(HLOOKUP('General Info'!$C$6,'Electricity factors'!$B$3:$N$26,'General Info'!$D$7,TRUE))/1000</f>
        <v>#N/A</v>
      </c>
      <c r="G35" s="53"/>
      <c r="H35" s="36" t="e">
        <f t="shared" si="0"/>
        <v>#DIV/0!</v>
      </c>
      <c r="I35" s="37" t="e">
        <f t="shared" si="1"/>
        <v>#N/A</v>
      </c>
      <c r="J35" s="65"/>
      <c r="K35" s="65"/>
      <c r="L35" s="65"/>
      <c r="M35" s="65"/>
      <c r="N35" s="65"/>
      <c r="O35" s="65"/>
      <c r="P35" s="65"/>
      <c r="Q35" s="65"/>
      <c r="R35" s="65"/>
      <c r="S35" s="65"/>
      <c r="T35" s="65"/>
      <c r="U35" s="65"/>
      <c r="V35" s="65"/>
      <c r="W35" s="65"/>
      <c r="X35" s="65"/>
      <c r="Y35" s="65"/>
      <c r="Z35" s="65"/>
    </row>
    <row r="36" spans="1:26" s="27" customFormat="1" ht="11.25">
      <c r="A36" s="65"/>
      <c r="B36" s="23"/>
      <c r="C36" s="24"/>
      <c r="D36" s="52" t="e">
        <f>C36*(HLOOKUP("Electricity",'Energy Conv Factors'!$A$6:$M$17,'General Info'!$E$7,FALSE))/1000</f>
        <v>#VALUE!</v>
      </c>
      <c r="E36" s="51"/>
      <c r="F36" s="120" t="e">
        <f>C36*(HLOOKUP('General Info'!$C$6,'Electricity factors'!$B$3:$N$26,'General Info'!$D$7,TRUE))/1000</f>
        <v>#N/A</v>
      </c>
      <c r="G36" s="53"/>
      <c r="H36" s="36" t="e">
        <f t="shared" si="0"/>
        <v>#DIV/0!</v>
      </c>
      <c r="I36" s="37" t="e">
        <f t="shared" si="1"/>
        <v>#N/A</v>
      </c>
      <c r="J36" s="65"/>
      <c r="K36" s="65"/>
      <c r="L36" s="65"/>
      <c r="M36" s="65"/>
      <c r="N36" s="65"/>
      <c r="O36" s="65"/>
      <c r="P36" s="65"/>
      <c r="Q36" s="65"/>
      <c r="R36" s="65"/>
      <c r="S36" s="65"/>
      <c r="T36" s="65"/>
      <c r="U36" s="65"/>
      <c r="V36" s="65"/>
      <c r="W36" s="65"/>
      <c r="X36" s="65"/>
      <c r="Y36" s="65"/>
      <c r="Z36" s="65"/>
    </row>
    <row r="37" spans="1:26" s="27" customFormat="1" ht="11.25">
      <c r="A37" s="65"/>
      <c r="B37" s="23"/>
      <c r="C37" s="24"/>
      <c r="D37" s="52" t="e">
        <f>C37*(HLOOKUP("Electricity",'Energy Conv Factors'!$A$6:$M$17,'General Info'!$E$7,FALSE))/1000</f>
        <v>#VALUE!</v>
      </c>
      <c r="E37" s="51"/>
      <c r="F37" s="120" t="e">
        <f>C37*(HLOOKUP('General Info'!$C$6,'Electricity factors'!$B$3:$N$26,'General Info'!$D$7,TRUE))/1000</f>
        <v>#N/A</v>
      </c>
      <c r="G37" s="53"/>
      <c r="H37" s="36" t="e">
        <f t="shared" si="0"/>
        <v>#DIV/0!</v>
      </c>
      <c r="I37" s="37" t="e">
        <f t="shared" si="1"/>
        <v>#N/A</v>
      </c>
      <c r="J37" s="65"/>
      <c r="K37" s="65"/>
      <c r="L37" s="65"/>
      <c r="M37" s="65"/>
      <c r="N37" s="65"/>
      <c r="O37" s="65"/>
      <c r="P37" s="65"/>
      <c r="Q37" s="65"/>
      <c r="R37" s="65"/>
      <c r="S37" s="65"/>
      <c r="T37" s="65"/>
      <c r="U37" s="65"/>
      <c r="V37" s="65"/>
      <c r="W37" s="65"/>
      <c r="X37" s="65"/>
      <c r="Y37" s="65"/>
      <c r="Z37" s="65"/>
    </row>
    <row r="38" spans="1:26" s="27" customFormat="1" ht="11.25">
      <c r="A38" s="65"/>
      <c r="B38" s="23"/>
      <c r="C38" s="24"/>
      <c r="D38" s="52" t="e">
        <f>C38*(HLOOKUP("Electricity",'Energy Conv Factors'!$A$6:$M$17,'General Info'!$E$7,FALSE))/1000</f>
        <v>#VALUE!</v>
      </c>
      <c r="E38" s="51"/>
      <c r="F38" s="120" t="e">
        <f>C38*(HLOOKUP('General Info'!$C$6,'Electricity factors'!$B$3:$N$26,'General Info'!$D$7,TRUE))/1000</f>
        <v>#N/A</v>
      </c>
      <c r="G38" s="53"/>
      <c r="H38" s="36" t="e">
        <f t="shared" si="0"/>
        <v>#DIV/0!</v>
      </c>
      <c r="I38" s="37" t="e">
        <f t="shared" si="1"/>
        <v>#N/A</v>
      </c>
      <c r="J38" s="65"/>
      <c r="K38" s="65"/>
      <c r="L38" s="65"/>
      <c r="M38" s="65"/>
      <c r="N38" s="65"/>
      <c r="O38" s="65"/>
      <c r="P38" s="65"/>
      <c r="Q38" s="65"/>
      <c r="R38" s="65"/>
      <c r="S38" s="65"/>
      <c r="T38" s="65"/>
      <c r="U38" s="65"/>
      <c r="V38" s="65"/>
      <c r="W38" s="65"/>
      <c r="X38" s="65"/>
      <c r="Y38" s="65"/>
      <c r="Z38" s="65"/>
    </row>
    <row r="39" spans="1:26" s="27" customFormat="1" ht="11.25">
      <c r="A39" s="65"/>
      <c r="B39" s="23"/>
      <c r="C39" s="24"/>
      <c r="D39" s="52" t="e">
        <f>C39*(HLOOKUP("Electricity",'Energy Conv Factors'!$A$6:$M$17,'General Info'!$E$7,FALSE))/1000</f>
        <v>#VALUE!</v>
      </c>
      <c r="E39" s="51"/>
      <c r="F39" s="120" t="e">
        <f>C39*(HLOOKUP('General Info'!$C$6,'Electricity factors'!$B$3:$N$26,'General Info'!$D$7,TRUE))/1000</f>
        <v>#N/A</v>
      </c>
      <c r="G39" s="53"/>
      <c r="H39" s="36" t="e">
        <f t="shared" si="0"/>
        <v>#DIV/0!</v>
      </c>
      <c r="I39" s="37" t="e">
        <f t="shared" si="1"/>
        <v>#N/A</v>
      </c>
      <c r="J39" s="65"/>
      <c r="K39" s="65"/>
      <c r="L39" s="65"/>
      <c r="M39" s="65"/>
      <c r="N39" s="65"/>
      <c r="O39" s="65"/>
      <c r="P39" s="65"/>
      <c r="Q39" s="65"/>
      <c r="R39" s="65"/>
      <c r="S39" s="65"/>
      <c r="T39" s="65"/>
      <c r="U39" s="65"/>
      <c r="V39" s="65"/>
      <c r="W39" s="65"/>
      <c r="X39" s="65"/>
      <c r="Y39" s="65"/>
      <c r="Z39" s="65"/>
    </row>
    <row r="40" spans="1:26" s="27" customFormat="1" ht="11.25">
      <c r="A40" s="65"/>
      <c r="B40" s="23"/>
      <c r="C40" s="24"/>
      <c r="D40" s="52" t="e">
        <f>C40*(HLOOKUP("Electricity",'Energy Conv Factors'!$A$6:$M$17,'General Info'!$E$7,FALSE))/1000</f>
        <v>#VALUE!</v>
      </c>
      <c r="E40" s="51"/>
      <c r="F40" s="120" t="e">
        <f>C40*(HLOOKUP('General Info'!$C$6,'Electricity factors'!$B$3:$N$26,'General Info'!$D$7,TRUE))/1000</f>
        <v>#N/A</v>
      </c>
      <c r="G40" s="53"/>
      <c r="H40" s="36" t="e">
        <f t="shared" si="0"/>
        <v>#DIV/0!</v>
      </c>
      <c r="I40" s="37" t="e">
        <f t="shared" si="1"/>
        <v>#N/A</v>
      </c>
      <c r="J40" s="65"/>
      <c r="K40" s="65"/>
      <c r="L40" s="65"/>
      <c r="M40" s="65"/>
      <c r="N40" s="65"/>
      <c r="O40" s="65"/>
      <c r="P40" s="65"/>
      <c r="Q40" s="65"/>
      <c r="R40" s="65"/>
      <c r="S40" s="65"/>
      <c r="T40" s="65"/>
      <c r="U40" s="65"/>
      <c r="V40" s="65"/>
      <c r="W40" s="65"/>
      <c r="X40" s="65"/>
      <c r="Y40" s="65"/>
      <c r="Z40" s="65"/>
    </row>
    <row r="41" spans="1:26" s="27" customFormat="1" ht="11.25">
      <c r="A41" s="65"/>
      <c r="B41" s="23"/>
      <c r="C41" s="24"/>
      <c r="D41" s="52" t="e">
        <f>C41*(HLOOKUP("Electricity",'Energy Conv Factors'!$A$6:$M$17,'General Info'!$E$7,FALSE))/1000</f>
        <v>#VALUE!</v>
      </c>
      <c r="E41" s="51"/>
      <c r="F41" s="120" t="e">
        <f>C41*(HLOOKUP('General Info'!$C$6,'Electricity factors'!$B$3:$N$26,'General Info'!$D$7,TRUE))/1000</f>
        <v>#N/A</v>
      </c>
      <c r="G41" s="53"/>
      <c r="H41" s="36" t="e">
        <f t="shared" si="0"/>
        <v>#DIV/0!</v>
      </c>
      <c r="I41" s="37" t="e">
        <f t="shared" si="1"/>
        <v>#N/A</v>
      </c>
      <c r="J41" s="65"/>
      <c r="K41" s="65"/>
      <c r="L41" s="65"/>
      <c r="M41" s="65"/>
      <c r="N41" s="65"/>
      <c r="O41" s="65"/>
      <c r="P41" s="65"/>
      <c r="Q41" s="65"/>
      <c r="R41" s="65"/>
      <c r="S41" s="65"/>
      <c r="T41" s="65"/>
      <c r="U41" s="65"/>
      <c r="V41" s="65"/>
      <c r="W41" s="65"/>
      <c r="X41" s="65"/>
      <c r="Y41" s="65"/>
      <c r="Z41" s="65"/>
    </row>
    <row r="42" spans="1:26" s="27" customFormat="1" ht="11.25">
      <c r="A42" s="65"/>
      <c r="B42" s="23"/>
      <c r="C42" s="24"/>
      <c r="D42" s="52" t="e">
        <f>C42*(HLOOKUP("Electricity",'Energy Conv Factors'!$A$6:$M$17,'General Info'!$E$7,FALSE))/1000</f>
        <v>#VALUE!</v>
      </c>
      <c r="E42" s="51"/>
      <c r="F42" s="120" t="e">
        <f>C42*(HLOOKUP('General Info'!$C$6,'Electricity factors'!$B$3:$N$26,'General Info'!$D$7,TRUE))/1000</f>
        <v>#N/A</v>
      </c>
      <c r="G42" s="53"/>
      <c r="H42" s="36" t="e">
        <f t="shared" si="0"/>
        <v>#DIV/0!</v>
      </c>
      <c r="I42" s="37" t="e">
        <f t="shared" si="1"/>
        <v>#N/A</v>
      </c>
      <c r="J42" s="65"/>
      <c r="K42" s="65"/>
      <c r="L42" s="65"/>
      <c r="M42" s="65"/>
      <c r="N42" s="65"/>
      <c r="O42" s="65"/>
      <c r="P42" s="65"/>
      <c r="Q42" s="65"/>
      <c r="R42" s="65"/>
      <c r="S42" s="65"/>
      <c r="T42" s="65"/>
      <c r="U42" s="65"/>
      <c r="V42" s="65"/>
      <c r="W42" s="65"/>
      <c r="X42" s="65"/>
      <c r="Y42" s="65"/>
      <c r="Z42" s="65"/>
    </row>
    <row r="43" spans="1:26" s="27" customFormat="1" ht="11.25">
      <c r="A43" s="65"/>
      <c r="B43" s="28"/>
      <c r="C43" s="24"/>
      <c r="D43" s="52" t="e">
        <f>C43*(HLOOKUP("Electricity",'Energy Conv Factors'!$A$6:$M$17,'General Info'!$E$7,FALSE))/1000</f>
        <v>#VALUE!</v>
      </c>
      <c r="E43" s="51"/>
      <c r="F43" s="120" t="e">
        <f>C43*(HLOOKUP('General Info'!$C$6,'Electricity factors'!$B$3:$N$26,'General Info'!$D$7,TRUE))/1000</f>
        <v>#N/A</v>
      </c>
      <c r="G43" s="53"/>
      <c r="H43" s="36" t="e">
        <f t="shared" si="0"/>
        <v>#DIV/0!</v>
      </c>
      <c r="I43" s="37" t="e">
        <f t="shared" si="1"/>
        <v>#N/A</v>
      </c>
      <c r="J43" s="65"/>
      <c r="K43" s="65"/>
      <c r="L43" s="65"/>
      <c r="M43" s="65"/>
      <c r="N43" s="65"/>
      <c r="O43" s="65"/>
      <c r="P43" s="65"/>
      <c r="Q43" s="65"/>
      <c r="R43" s="65"/>
      <c r="S43" s="65"/>
      <c r="T43" s="65"/>
      <c r="U43" s="65"/>
      <c r="V43" s="65"/>
      <c r="W43" s="65"/>
      <c r="X43" s="65"/>
      <c r="Y43" s="65"/>
      <c r="Z43" s="65"/>
    </row>
    <row r="44" spans="1:26" s="27" customFormat="1" ht="11.25">
      <c r="A44" s="65"/>
      <c r="B44" s="28"/>
      <c r="C44" s="24"/>
      <c r="D44" s="52" t="e">
        <f>C44*(HLOOKUP("Electricity",'Energy Conv Factors'!$A$6:$M$17,'General Info'!$E$7,FALSE))/1000</f>
        <v>#VALUE!</v>
      </c>
      <c r="E44" s="51"/>
      <c r="F44" s="120" t="e">
        <f>C44*(HLOOKUP('General Info'!$C$6,'Electricity factors'!$B$3:$N$26,'General Info'!$D$7,TRUE))/1000</f>
        <v>#N/A</v>
      </c>
      <c r="G44" s="53"/>
      <c r="H44" s="36" t="e">
        <f t="shared" si="0"/>
        <v>#DIV/0!</v>
      </c>
      <c r="I44" s="37" t="e">
        <f t="shared" si="1"/>
        <v>#N/A</v>
      </c>
      <c r="J44" s="65"/>
      <c r="K44" s="65"/>
      <c r="L44" s="65"/>
      <c r="M44" s="65"/>
      <c r="N44" s="65"/>
      <c r="O44" s="65"/>
      <c r="P44" s="65"/>
      <c r="Q44" s="65"/>
      <c r="R44" s="65"/>
      <c r="S44" s="65"/>
      <c r="T44" s="65"/>
      <c r="U44" s="65"/>
      <c r="V44" s="65"/>
      <c r="W44" s="65"/>
      <c r="X44" s="65"/>
      <c r="Y44" s="65"/>
      <c r="Z44" s="65"/>
    </row>
    <row r="45" spans="1:26" s="27" customFormat="1" ht="11.25">
      <c r="A45" s="65"/>
      <c r="B45" s="28"/>
      <c r="C45" s="24"/>
      <c r="D45" s="52" t="e">
        <f>C45*(HLOOKUP("Electricity",'Energy Conv Factors'!$A$6:$M$17,'General Info'!$E$7,FALSE))/1000</f>
        <v>#VALUE!</v>
      </c>
      <c r="E45" s="51"/>
      <c r="F45" s="120" t="e">
        <f>C45*(HLOOKUP('General Info'!$C$6,'Electricity factors'!$B$3:$N$26,'General Info'!$D$7,TRUE))/1000</f>
        <v>#N/A</v>
      </c>
      <c r="G45" s="53"/>
      <c r="H45" s="36" t="e">
        <f t="shared" si="0"/>
        <v>#DIV/0!</v>
      </c>
      <c r="I45" s="37" t="e">
        <f t="shared" si="1"/>
        <v>#N/A</v>
      </c>
      <c r="J45" s="65"/>
      <c r="K45" s="65"/>
      <c r="L45" s="65"/>
      <c r="M45" s="65"/>
      <c r="N45" s="65"/>
      <c r="O45" s="65"/>
      <c r="P45" s="65"/>
      <c r="Q45" s="65"/>
      <c r="R45" s="65"/>
      <c r="S45" s="65"/>
      <c r="T45" s="65"/>
      <c r="U45" s="65"/>
      <c r="V45" s="65"/>
      <c r="W45" s="65"/>
      <c r="X45" s="65"/>
      <c r="Y45" s="65"/>
      <c r="Z45" s="65"/>
    </row>
    <row r="46" spans="1:26" s="27" customFormat="1" ht="11.25">
      <c r="A46" s="65"/>
      <c r="B46" s="28"/>
      <c r="C46" s="24"/>
      <c r="D46" s="52" t="e">
        <f>C46*(HLOOKUP("Electricity",'Energy Conv Factors'!$A$6:$M$17,'General Info'!$E$7,FALSE))/1000</f>
        <v>#VALUE!</v>
      </c>
      <c r="E46" s="51"/>
      <c r="F46" s="120" t="e">
        <f>C46*(HLOOKUP('General Info'!$C$6,'Electricity factors'!$B$3:$N$26,'General Info'!$D$7,TRUE))/1000</f>
        <v>#N/A</v>
      </c>
      <c r="G46" s="53"/>
      <c r="H46" s="36" t="e">
        <f t="shared" si="0"/>
        <v>#DIV/0!</v>
      </c>
      <c r="I46" s="37" t="e">
        <f t="shared" si="1"/>
        <v>#N/A</v>
      </c>
      <c r="J46" s="65"/>
      <c r="K46" s="65"/>
      <c r="L46" s="65"/>
      <c r="M46" s="65"/>
      <c r="N46" s="65"/>
      <c r="O46" s="65"/>
      <c r="P46" s="65"/>
      <c r="Q46" s="65"/>
      <c r="R46" s="65"/>
      <c r="S46" s="65"/>
      <c r="T46" s="65"/>
      <c r="U46" s="65"/>
      <c r="V46" s="65"/>
      <c r="W46" s="65"/>
      <c r="X46" s="65"/>
      <c r="Y46" s="65"/>
      <c r="Z46" s="65"/>
    </row>
    <row r="47" spans="1:26" s="27" customFormat="1" ht="11.25">
      <c r="A47" s="65"/>
      <c r="B47" s="28"/>
      <c r="C47" s="24"/>
      <c r="D47" s="52" t="e">
        <f>C47*(HLOOKUP("Electricity",'Energy Conv Factors'!$A$6:$M$17,'General Info'!$E$7,FALSE))/1000</f>
        <v>#VALUE!</v>
      </c>
      <c r="E47" s="51"/>
      <c r="F47" s="120" t="e">
        <f>C47*(HLOOKUP('General Info'!$C$6,'Electricity factors'!$B$3:$N$26,'General Info'!$D$7,TRUE))/1000</f>
        <v>#N/A</v>
      </c>
      <c r="G47" s="53"/>
      <c r="H47" s="36" t="e">
        <f t="shared" si="0"/>
        <v>#DIV/0!</v>
      </c>
      <c r="I47" s="37" t="e">
        <f t="shared" si="1"/>
        <v>#N/A</v>
      </c>
      <c r="J47" s="65"/>
      <c r="K47" s="65"/>
      <c r="L47" s="65"/>
      <c r="M47" s="65"/>
      <c r="N47" s="65"/>
      <c r="O47" s="65"/>
      <c r="P47" s="65"/>
      <c r="Q47" s="65"/>
      <c r="R47" s="65"/>
      <c r="S47" s="65"/>
      <c r="T47" s="65"/>
      <c r="U47" s="65"/>
      <c r="V47" s="65"/>
      <c r="W47" s="65"/>
      <c r="X47" s="65"/>
      <c r="Y47" s="65"/>
      <c r="Z47" s="65"/>
    </row>
    <row r="48" spans="1:26" s="27" customFormat="1" ht="11.25">
      <c r="A48" s="65"/>
      <c r="B48" s="28"/>
      <c r="C48" s="24"/>
      <c r="D48" s="52" t="e">
        <f>C48*(HLOOKUP("Electricity",'Energy Conv Factors'!$A$6:$M$17,'General Info'!$E$7,FALSE))/1000</f>
        <v>#VALUE!</v>
      </c>
      <c r="E48" s="51"/>
      <c r="F48" s="120" t="e">
        <f>C48*(HLOOKUP('General Info'!$C$6,'Electricity factors'!$B$3:$N$26,'General Info'!$D$7,TRUE))/1000</f>
        <v>#N/A</v>
      </c>
      <c r="G48" s="53"/>
      <c r="H48" s="36" t="e">
        <f t="shared" si="0"/>
        <v>#DIV/0!</v>
      </c>
      <c r="I48" s="37" t="e">
        <f t="shared" si="1"/>
        <v>#N/A</v>
      </c>
      <c r="J48" s="65"/>
      <c r="K48" s="65"/>
      <c r="L48" s="65"/>
      <c r="M48" s="65"/>
      <c r="N48" s="65"/>
      <c r="O48" s="65"/>
      <c r="P48" s="65"/>
      <c r="Q48" s="65"/>
      <c r="R48" s="65"/>
      <c r="S48" s="65"/>
      <c r="T48" s="65"/>
      <c r="U48" s="65"/>
      <c r="V48" s="65"/>
      <c r="W48" s="65"/>
      <c r="X48" s="65"/>
      <c r="Y48" s="65"/>
      <c r="Z48" s="65"/>
    </row>
    <row r="49" spans="1:26" s="27" customFormat="1" ht="11.25">
      <c r="A49" s="65"/>
      <c r="B49" s="28"/>
      <c r="C49" s="24"/>
      <c r="D49" s="52" t="e">
        <f>C49*(HLOOKUP("Electricity",'Energy Conv Factors'!$A$6:$M$17,'General Info'!$E$7,FALSE))/1000</f>
        <v>#VALUE!</v>
      </c>
      <c r="E49" s="51"/>
      <c r="F49" s="120" t="e">
        <f>C49*(HLOOKUP('General Info'!$C$6,'Electricity factors'!$B$3:$N$26,'General Info'!$D$7,TRUE))/1000</f>
        <v>#N/A</v>
      </c>
      <c r="G49" s="53"/>
      <c r="H49" s="36" t="e">
        <f t="shared" si="0"/>
        <v>#DIV/0!</v>
      </c>
      <c r="I49" s="37" t="e">
        <f t="shared" si="1"/>
        <v>#N/A</v>
      </c>
      <c r="J49" s="65"/>
      <c r="K49" s="65"/>
      <c r="L49" s="65"/>
      <c r="M49" s="65"/>
      <c r="N49" s="65"/>
      <c r="O49" s="65"/>
      <c r="P49" s="65"/>
      <c r="Q49" s="65"/>
      <c r="R49" s="65"/>
      <c r="S49" s="65"/>
      <c r="T49" s="65"/>
      <c r="U49" s="65"/>
      <c r="V49" s="65"/>
      <c r="W49" s="65"/>
      <c r="X49" s="65"/>
      <c r="Y49" s="65"/>
      <c r="Z49" s="65"/>
    </row>
    <row r="50" spans="1:26" s="27" customFormat="1" ht="11.25">
      <c r="A50" s="65"/>
      <c r="B50" s="28"/>
      <c r="C50" s="24"/>
      <c r="D50" s="52" t="e">
        <f>C50*(HLOOKUP("Electricity",'Energy Conv Factors'!$A$6:$M$17,'General Info'!$E$7,FALSE))/1000</f>
        <v>#VALUE!</v>
      </c>
      <c r="E50" s="51"/>
      <c r="F50" s="120" t="e">
        <f>C50*(HLOOKUP('General Info'!$C$6,'Electricity factors'!$B$3:$N$26,'General Info'!$D$7,TRUE))/1000</f>
        <v>#N/A</v>
      </c>
      <c r="G50" s="53"/>
      <c r="H50" s="36" t="e">
        <f t="shared" si="0"/>
        <v>#DIV/0!</v>
      </c>
      <c r="I50" s="37" t="e">
        <f t="shared" si="1"/>
        <v>#N/A</v>
      </c>
      <c r="J50" s="65"/>
      <c r="K50" s="65"/>
      <c r="L50" s="65"/>
      <c r="M50" s="65"/>
      <c r="N50" s="65"/>
      <c r="O50" s="65"/>
      <c r="P50" s="65"/>
      <c r="Q50" s="65"/>
      <c r="R50" s="65"/>
      <c r="S50" s="65"/>
      <c r="T50" s="65"/>
      <c r="U50" s="65"/>
      <c r="V50" s="65"/>
      <c r="W50" s="65"/>
      <c r="X50" s="65"/>
      <c r="Y50" s="65"/>
      <c r="Z50" s="65"/>
    </row>
    <row r="51" spans="1:26" s="27" customFormat="1" ht="11.25">
      <c r="A51" s="65"/>
      <c r="B51" s="28"/>
      <c r="C51" s="24"/>
      <c r="D51" s="52" t="e">
        <f>C51*(HLOOKUP("Electricity",'Energy Conv Factors'!$A$6:$M$17,'General Info'!$E$7,FALSE))/1000</f>
        <v>#VALUE!</v>
      </c>
      <c r="E51" s="51"/>
      <c r="F51" s="120" t="e">
        <f>C51*(HLOOKUP('General Info'!$C$6,'Electricity factors'!$B$3:$N$26,'General Info'!$D$7,TRUE))/1000</f>
        <v>#N/A</v>
      </c>
      <c r="G51" s="53"/>
      <c r="H51" s="36" t="e">
        <f t="shared" si="0"/>
        <v>#DIV/0!</v>
      </c>
      <c r="I51" s="37" t="e">
        <f t="shared" si="1"/>
        <v>#N/A</v>
      </c>
      <c r="J51" s="65"/>
      <c r="K51" s="65"/>
      <c r="L51" s="65"/>
      <c r="M51" s="65"/>
      <c r="N51" s="65"/>
      <c r="O51" s="65"/>
      <c r="P51" s="65"/>
      <c r="Q51" s="65"/>
      <c r="R51" s="65"/>
      <c r="S51" s="65"/>
      <c r="T51" s="65"/>
      <c r="U51" s="65"/>
      <c r="V51" s="65"/>
      <c r="W51" s="65"/>
      <c r="X51" s="65"/>
      <c r="Y51" s="65"/>
      <c r="Z51" s="65"/>
    </row>
    <row r="52" spans="1:26" s="27" customFormat="1" ht="11.25">
      <c r="A52" s="65"/>
      <c r="B52" s="28"/>
      <c r="C52" s="24"/>
      <c r="D52" s="52" t="e">
        <f>C52*(HLOOKUP("Electricity",'Energy Conv Factors'!$A$6:$M$17,'General Info'!$E$7,FALSE))/1000</f>
        <v>#VALUE!</v>
      </c>
      <c r="E52" s="51"/>
      <c r="F52" s="120" t="e">
        <f>C52*(HLOOKUP('General Info'!$C$6,'Electricity factors'!$B$3:$N$26,'General Info'!$D$7,TRUE))/1000</f>
        <v>#N/A</v>
      </c>
      <c r="G52" s="53"/>
      <c r="H52" s="36" t="e">
        <f t="shared" si="0"/>
        <v>#DIV/0!</v>
      </c>
      <c r="I52" s="37" t="e">
        <f t="shared" si="1"/>
        <v>#N/A</v>
      </c>
      <c r="J52" s="65"/>
      <c r="K52" s="65"/>
      <c r="L52" s="65"/>
      <c r="M52" s="65"/>
      <c r="N52" s="65"/>
      <c r="O52" s="65"/>
      <c r="P52" s="65"/>
      <c r="Q52" s="65"/>
      <c r="R52" s="65"/>
      <c r="S52" s="65"/>
      <c r="T52" s="65"/>
      <c r="U52" s="65"/>
      <c r="V52" s="65"/>
      <c r="W52" s="65"/>
      <c r="X52" s="65"/>
      <c r="Y52" s="65"/>
      <c r="Z52" s="65"/>
    </row>
    <row r="53" spans="1:26" s="27" customFormat="1" ht="11.25">
      <c r="A53" s="65"/>
      <c r="B53" s="28"/>
      <c r="C53" s="24"/>
      <c r="D53" s="52" t="e">
        <f>C53*(HLOOKUP("Electricity",'Energy Conv Factors'!$A$6:$M$17,'General Info'!$E$7,FALSE))/1000</f>
        <v>#VALUE!</v>
      </c>
      <c r="E53" s="51"/>
      <c r="F53" s="120" t="e">
        <f>C53*(HLOOKUP('General Info'!$C$6,'Electricity factors'!$B$3:$N$26,'General Info'!$D$7,TRUE))/1000</f>
        <v>#N/A</v>
      </c>
      <c r="G53" s="53"/>
      <c r="H53" s="36" t="e">
        <f t="shared" si="0"/>
        <v>#DIV/0!</v>
      </c>
      <c r="I53" s="37" t="e">
        <f t="shared" si="1"/>
        <v>#N/A</v>
      </c>
      <c r="J53" s="65"/>
      <c r="K53" s="65"/>
      <c r="L53" s="65"/>
      <c r="M53" s="65"/>
      <c r="N53" s="65"/>
      <c r="O53" s="65"/>
      <c r="P53" s="65"/>
      <c r="Q53" s="65"/>
      <c r="R53" s="65"/>
      <c r="S53" s="65"/>
      <c r="T53" s="65"/>
      <c r="U53" s="65"/>
      <c r="V53" s="65"/>
      <c r="W53" s="65"/>
      <c r="X53" s="65"/>
      <c r="Y53" s="65"/>
      <c r="Z53" s="65"/>
    </row>
    <row r="54" spans="1:26" s="14" customFormat="1" ht="12.75" thickBot="1">
      <c r="A54" s="63"/>
      <c r="B54" s="19" t="s">
        <v>62</v>
      </c>
      <c r="C54" s="20">
        <f>SUM(C10:C53)</f>
        <v>0</v>
      </c>
      <c r="D54" s="20" t="e">
        <f>SUM(D10:D53)</f>
        <v>#VALUE!</v>
      </c>
      <c r="E54" s="21">
        <f>SUM(E10:E53)</f>
        <v>0</v>
      </c>
      <c r="F54" s="121" t="e">
        <f>SUM(F10:F53)</f>
        <v>#N/A</v>
      </c>
      <c r="G54" s="22">
        <f>SUM(G10:G53)</f>
        <v>0</v>
      </c>
      <c r="H54" s="44" t="e">
        <f t="shared" si="0"/>
        <v>#DIV/0!</v>
      </c>
      <c r="I54" s="45" t="e">
        <f>F54/G54</f>
        <v>#N/A</v>
      </c>
      <c r="J54" s="63"/>
      <c r="K54" s="63"/>
      <c r="L54" s="63"/>
      <c r="M54" s="63"/>
      <c r="N54" s="63"/>
      <c r="O54" s="63"/>
      <c r="P54" s="63"/>
      <c r="Q54" s="63"/>
      <c r="R54" s="63"/>
      <c r="S54" s="63"/>
      <c r="T54" s="63"/>
      <c r="U54" s="63"/>
      <c r="V54" s="63"/>
      <c r="W54" s="63"/>
      <c r="X54" s="63"/>
      <c r="Y54" s="63"/>
      <c r="Z54" s="63"/>
    </row>
    <row r="55" spans="1:26" ht="12.75">
      <c r="A55" s="58"/>
      <c r="B55" s="58"/>
      <c r="C55" s="66"/>
      <c r="D55" s="66"/>
      <c r="E55" s="66"/>
      <c r="F55" s="118"/>
      <c r="G55" s="58"/>
      <c r="H55" s="67"/>
      <c r="I55" s="67"/>
      <c r="J55" s="58"/>
      <c r="K55" s="58"/>
      <c r="L55" s="58"/>
      <c r="M55" s="58"/>
      <c r="N55" s="58"/>
      <c r="O55" s="58"/>
      <c r="P55" s="58"/>
      <c r="Q55" s="58"/>
      <c r="R55" s="58"/>
      <c r="S55" s="58"/>
      <c r="T55" s="58"/>
      <c r="U55" s="58"/>
      <c r="V55" s="58"/>
      <c r="W55" s="58"/>
      <c r="X55" s="58"/>
      <c r="Y55" s="58"/>
      <c r="Z55" s="58"/>
    </row>
    <row r="56" spans="1:26" ht="12.75">
      <c r="A56" s="58"/>
      <c r="B56" s="58"/>
      <c r="C56" s="66"/>
      <c r="D56" s="66"/>
      <c r="E56" s="66"/>
      <c r="F56" s="118"/>
      <c r="G56" s="58"/>
      <c r="H56" s="67"/>
      <c r="I56" s="67"/>
      <c r="J56" s="58"/>
      <c r="K56" s="58"/>
      <c r="L56" s="58"/>
      <c r="M56" s="58"/>
      <c r="N56" s="58"/>
      <c r="O56" s="58"/>
      <c r="P56" s="58"/>
      <c r="Q56" s="58"/>
      <c r="R56" s="58"/>
      <c r="S56" s="58"/>
      <c r="T56" s="58"/>
      <c r="U56" s="58"/>
      <c r="V56" s="58"/>
      <c r="W56" s="58"/>
      <c r="X56" s="58"/>
      <c r="Y56" s="58"/>
      <c r="Z56" s="58"/>
    </row>
    <row r="57" spans="1:26" ht="12.75">
      <c r="A57" s="58"/>
      <c r="B57" s="58"/>
      <c r="C57" s="66"/>
      <c r="D57" s="66"/>
      <c r="E57" s="66"/>
      <c r="F57" s="118"/>
      <c r="G57" s="58"/>
      <c r="H57" s="67"/>
      <c r="I57" s="67"/>
      <c r="J57" s="58"/>
      <c r="K57" s="58"/>
      <c r="L57" s="58"/>
      <c r="M57" s="58"/>
      <c r="N57" s="58"/>
      <c r="O57" s="58"/>
      <c r="P57" s="58"/>
      <c r="Q57" s="58"/>
      <c r="R57" s="58"/>
      <c r="S57" s="58"/>
      <c r="T57" s="58"/>
      <c r="U57" s="58"/>
      <c r="V57" s="58"/>
      <c r="W57" s="58"/>
      <c r="X57" s="58"/>
      <c r="Y57" s="58"/>
      <c r="Z57" s="58"/>
    </row>
    <row r="58" spans="1:26" ht="12.75">
      <c r="A58" s="58"/>
      <c r="B58" s="58"/>
      <c r="C58" s="66"/>
      <c r="D58" s="66"/>
      <c r="E58" s="66"/>
      <c r="F58" s="118"/>
      <c r="G58" s="58"/>
      <c r="H58" s="67"/>
      <c r="I58" s="67"/>
      <c r="J58" s="58"/>
      <c r="K58" s="58"/>
      <c r="L58" s="58"/>
      <c r="M58" s="58"/>
      <c r="N58" s="58"/>
      <c r="O58" s="58"/>
      <c r="P58" s="58"/>
      <c r="Q58" s="58"/>
      <c r="R58" s="58"/>
      <c r="S58" s="58"/>
      <c r="T58" s="58"/>
      <c r="U58" s="58"/>
      <c r="V58" s="58"/>
      <c r="W58" s="58"/>
      <c r="X58" s="58"/>
      <c r="Y58" s="58"/>
      <c r="Z58" s="58"/>
    </row>
    <row r="59" spans="1:26" ht="12.75">
      <c r="A59" s="58"/>
      <c r="B59" s="58"/>
      <c r="C59" s="66"/>
      <c r="D59" s="66"/>
      <c r="E59" s="66"/>
      <c r="F59" s="118"/>
      <c r="G59" s="58"/>
      <c r="H59" s="67"/>
      <c r="I59" s="67"/>
      <c r="J59" s="58"/>
      <c r="K59" s="58"/>
      <c r="L59" s="58"/>
      <c r="M59" s="58"/>
      <c r="N59" s="58"/>
      <c r="O59" s="58"/>
      <c r="P59" s="58"/>
      <c r="Q59" s="58"/>
      <c r="R59" s="58"/>
      <c r="S59" s="58"/>
      <c r="T59" s="58"/>
      <c r="U59" s="58"/>
      <c r="V59" s="58"/>
      <c r="W59" s="58"/>
      <c r="X59" s="58"/>
      <c r="Y59" s="58"/>
      <c r="Z59" s="58"/>
    </row>
    <row r="60" spans="1:26" ht="12.75">
      <c r="A60" s="58"/>
      <c r="B60" s="58"/>
      <c r="C60" s="66"/>
      <c r="D60" s="66"/>
      <c r="E60" s="66"/>
      <c r="F60" s="118"/>
      <c r="G60" s="58"/>
      <c r="H60" s="67"/>
      <c r="I60" s="67"/>
      <c r="J60" s="58"/>
      <c r="K60" s="58"/>
      <c r="L60" s="58"/>
      <c r="M60" s="58"/>
      <c r="N60" s="58"/>
      <c r="O60" s="58"/>
      <c r="P60" s="58"/>
      <c r="Q60" s="58"/>
      <c r="R60" s="58"/>
      <c r="S60" s="58"/>
      <c r="T60" s="58"/>
      <c r="U60" s="58"/>
      <c r="V60" s="58"/>
      <c r="W60" s="58"/>
      <c r="X60" s="58"/>
      <c r="Y60" s="58"/>
      <c r="Z60" s="58"/>
    </row>
    <row r="61" spans="1:26" ht="12.75">
      <c r="A61" s="58"/>
      <c r="B61" s="58"/>
      <c r="C61" s="66"/>
      <c r="D61" s="66"/>
      <c r="E61" s="66"/>
      <c r="F61" s="118"/>
      <c r="G61" s="58"/>
      <c r="H61" s="67"/>
      <c r="I61" s="67"/>
      <c r="J61" s="58"/>
      <c r="K61" s="58"/>
      <c r="L61" s="58"/>
      <c r="M61" s="58"/>
      <c r="N61" s="58"/>
      <c r="O61" s="58"/>
      <c r="P61" s="58"/>
      <c r="Q61" s="58"/>
      <c r="R61" s="58"/>
      <c r="S61" s="58"/>
      <c r="T61" s="58"/>
      <c r="U61" s="58"/>
      <c r="V61" s="58"/>
      <c r="W61" s="58"/>
      <c r="X61" s="58"/>
      <c r="Y61" s="58"/>
      <c r="Z61" s="58"/>
    </row>
    <row r="62" spans="1:26" ht="12.75">
      <c r="A62" s="58"/>
      <c r="B62" s="58"/>
      <c r="C62" s="66"/>
      <c r="D62" s="66"/>
      <c r="E62" s="66"/>
      <c r="F62" s="118"/>
      <c r="G62" s="58"/>
      <c r="H62" s="67"/>
      <c r="I62" s="67"/>
      <c r="J62" s="58"/>
      <c r="K62" s="58"/>
      <c r="L62" s="58"/>
      <c r="M62" s="58"/>
      <c r="N62" s="58"/>
      <c r="O62" s="58"/>
      <c r="P62" s="58"/>
      <c r="Q62" s="58"/>
      <c r="R62" s="58"/>
      <c r="S62" s="58"/>
      <c r="T62" s="58"/>
      <c r="U62" s="58"/>
      <c r="V62" s="58"/>
      <c r="W62" s="58"/>
      <c r="X62" s="58"/>
      <c r="Y62" s="58"/>
      <c r="Z62" s="58"/>
    </row>
    <row r="63" spans="1:26" ht="12.75">
      <c r="A63" s="58"/>
      <c r="B63" s="58"/>
      <c r="C63" s="66"/>
      <c r="D63" s="66"/>
      <c r="E63" s="66"/>
      <c r="F63" s="118"/>
      <c r="G63" s="58"/>
      <c r="H63" s="67"/>
      <c r="I63" s="67"/>
      <c r="J63" s="58"/>
      <c r="K63" s="58"/>
      <c r="L63" s="58"/>
      <c r="M63" s="58"/>
      <c r="N63" s="58"/>
      <c r="O63" s="58"/>
      <c r="P63" s="58"/>
      <c r="Q63" s="58"/>
      <c r="R63" s="58"/>
      <c r="S63" s="58"/>
      <c r="T63" s="58"/>
      <c r="U63" s="58"/>
      <c r="V63" s="58"/>
      <c r="W63" s="58"/>
      <c r="X63" s="58"/>
      <c r="Y63" s="58"/>
      <c r="Z63" s="58"/>
    </row>
    <row r="64" spans="1:26" ht="12.75">
      <c r="A64" s="58"/>
      <c r="B64" s="58"/>
      <c r="C64" s="66"/>
      <c r="D64" s="66"/>
      <c r="E64" s="66"/>
      <c r="F64" s="118"/>
      <c r="G64" s="58"/>
      <c r="H64" s="67"/>
      <c r="I64" s="67"/>
      <c r="J64" s="58"/>
      <c r="K64" s="58"/>
      <c r="L64" s="58"/>
      <c r="M64" s="58"/>
      <c r="N64" s="58"/>
      <c r="O64" s="58"/>
      <c r="P64" s="58"/>
      <c r="Q64" s="58"/>
      <c r="R64" s="58"/>
      <c r="S64" s="58"/>
      <c r="T64" s="58"/>
      <c r="U64" s="58"/>
      <c r="V64" s="58"/>
      <c r="W64" s="58"/>
      <c r="X64" s="58"/>
      <c r="Y64" s="58"/>
      <c r="Z64" s="58"/>
    </row>
    <row r="65" spans="1:26" ht="12.75">
      <c r="A65" s="58"/>
      <c r="B65" s="58"/>
      <c r="C65" s="66"/>
      <c r="D65" s="66"/>
      <c r="E65" s="66"/>
      <c r="F65" s="118"/>
      <c r="G65" s="58"/>
      <c r="H65" s="67"/>
      <c r="I65" s="67"/>
      <c r="J65" s="58"/>
      <c r="K65" s="58"/>
      <c r="L65" s="58"/>
      <c r="M65" s="58"/>
      <c r="N65" s="58"/>
      <c r="O65" s="58"/>
      <c r="P65" s="58"/>
      <c r="Q65" s="58"/>
      <c r="R65" s="58"/>
      <c r="S65" s="58"/>
      <c r="T65" s="58"/>
      <c r="U65" s="58"/>
      <c r="V65" s="58"/>
      <c r="W65" s="58"/>
      <c r="X65" s="58"/>
      <c r="Y65" s="58"/>
      <c r="Z65" s="58"/>
    </row>
    <row r="66" spans="1:26" ht="12.75">
      <c r="A66" s="58"/>
      <c r="B66" s="58"/>
      <c r="C66" s="66"/>
      <c r="D66" s="66"/>
      <c r="E66" s="66"/>
      <c r="F66" s="118"/>
      <c r="G66" s="58"/>
      <c r="H66" s="67"/>
      <c r="I66" s="67"/>
      <c r="J66" s="58"/>
      <c r="K66" s="58"/>
      <c r="L66" s="58"/>
      <c r="M66" s="58"/>
      <c r="N66" s="58"/>
      <c r="O66" s="58"/>
      <c r="P66" s="58"/>
      <c r="Q66" s="58"/>
      <c r="R66" s="58"/>
      <c r="S66" s="58"/>
      <c r="T66" s="58"/>
      <c r="U66" s="58"/>
      <c r="V66" s="58"/>
      <c r="W66" s="58"/>
      <c r="X66" s="58"/>
      <c r="Y66" s="58"/>
      <c r="Z66" s="58"/>
    </row>
    <row r="67" spans="1:26" ht="12.75">
      <c r="A67" s="58"/>
      <c r="B67" s="58"/>
      <c r="C67" s="66"/>
      <c r="D67" s="66"/>
      <c r="E67" s="66"/>
      <c r="F67" s="118"/>
      <c r="G67" s="58"/>
      <c r="H67" s="67"/>
      <c r="I67" s="67"/>
      <c r="J67" s="58"/>
      <c r="K67" s="58"/>
      <c r="L67" s="58"/>
      <c r="M67" s="58"/>
      <c r="N67" s="58"/>
      <c r="O67" s="58"/>
      <c r="P67" s="58"/>
      <c r="Q67" s="58"/>
      <c r="R67" s="58"/>
      <c r="S67" s="58"/>
      <c r="T67" s="58"/>
      <c r="U67" s="58"/>
      <c r="V67" s="58"/>
      <c r="W67" s="58"/>
      <c r="X67" s="58"/>
      <c r="Y67" s="58"/>
      <c r="Z67" s="58"/>
    </row>
    <row r="68" spans="1:26" ht="12.75">
      <c r="A68" s="58"/>
      <c r="B68" s="58"/>
      <c r="C68" s="66"/>
      <c r="D68" s="66"/>
      <c r="E68" s="66"/>
      <c r="F68" s="118"/>
      <c r="G68" s="58"/>
      <c r="H68" s="67"/>
      <c r="I68" s="67"/>
      <c r="J68" s="58"/>
      <c r="K68" s="58"/>
      <c r="L68" s="58"/>
      <c r="M68" s="58"/>
      <c r="N68" s="58"/>
      <c r="O68" s="58"/>
      <c r="P68" s="58"/>
      <c r="Q68" s="58"/>
      <c r="R68" s="58"/>
      <c r="S68" s="58"/>
      <c r="T68" s="58"/>
      <c r="U68" s="58"/>
      <c r="V68" s="58"/>
      <c r="W68" s="58"/>
      <c r="X68" s="58"/>
      <c r="Y68" s="58"/>
      <c r="Z68" s="58"/>
    </row>
    <row r="69" spans="1:26" ht="12.75">
      <c r="A69" s="58"/>
      <c r="B69" s="58"/>
      <c r="C69" s="66"/>
      <c r="D69" s="66"/>
      <c r="E69" s="66"/>
      <c r="F69" s="118"/>
      <c r="G69" s="58"/>
      <c r="H69" s="67"/>
      <c r="I69" s="67"/>
      <c r="J69" s="58"/>
      <c r="K69" s="58"/>
      <c r="L69" s="58"/>
      <c r="M69" s="58"/>
      <c r="N69" s="58"/>
      <c r="O69" s="58"/>
      <c r="P69" s="58"/>
      <c r="Q69" s="58"/>
      <c r="R69" s="58"/>
      <c r="S69" s="58"/>
      <c r="T69" s="58"/>
      <c r="U69" s="58"/>
      <c r="V69" s="58"/>
      <c r="W69" s="58"/>
      <c r="X69" s="58"/>
      <c r="Y69" s="58"/>
      <c r="Z69" s="58"/>
    </row>
    <row r="70" spans="1:26" ht="12.75">
      <c r="A70" s="58"/>
      <c r="B70" s="58"/>
      <c r="C70" s="66"/>
      <c r="D70" s="66"/>
      <c r="E70" s="66"/>
      <c r="F70" s="118"/>
      <c r="G70" s="58"/>
      <c r="H70" s="67"/>
      <c r="I70" s="67"/>
      <c r="J70" s="58"/>
      <c r="K70" s="58"/>
      <c r="L70" s="58"/>
      <c r="M70" s="58"/>
      <c r="N70" s="58"/>
      <c r="O70" s="58"/>
      <c r="P70" s="58"/>
      <c r="Q70" s="58"/>
      <c r="R70" s="58"/>
      <c r="S70" s="58"/>
      <c r="T70" s="58"/>
      <c r="U70" s="58"/>
      <c r="V70" s="58"/>
      <c r="W70" s="58"/>
      <c r="X70" s="58"/>
      <c r="Y70" s="58"/>
      <c r="Z70" s="58"/>
    </row>
    <row r="71" spans="1:26" ht="12.75">
      <c r="A71" s="58"/>
      <c r="B71" s="58"/>
      <c r="C71" s="66"/>
      <c r="D71" s="66"/>
      <c r="E71" s="66"/>
      <c r="F71" s="118"/>
      <c r="G71" s="58"/>
      <c r="H71" s="67"/>
      <c r="I71" s="67"/>
      <c r="J71" s="58"/>
      <c r="K71" s="58"/>
      <c r="L71" s="58"/>
      <c r="M71" s="58"/>
      <c r="N71" s="58"/>
      <c r="O71" s="58"/>
      <c r="P71" s="58"/>
      <c r="Q71" s="58"/>
      <c r="R71" s="58"/>
      <c r="S71" s="58"/>
      <c r="T71" s="58"/>
      <c r="U71" s="58"/>
      <c r="V71" s="58"/>
      <c r="W71" s="58"/>
      <c r="X71" s="58"/>
      <c r="Y71" s="58"/>
      <c r="Z71" s="58"/>
    </row>
    <row r="72" spans="1:26" ht="12.75">
      <c r="A72" s="58"/>
      <c r="B72" s="58"/>
      <c r="C72" s="66"/>
      <c r="D72" s="66"/>
      <c r="E72" s="66"/>
      <c r="F72" s="118"/>
      <c r="G72" s="58"/>
      <c r="H72" s="67"/>
      <c r="I72" s="67"/>
      <c r="J72" s="58"/>
      <c r="K72" s="58"/>
      <c r="L72" s="58"/>
      <c r="M72" s="58"/>
      <c r="N72" s="58"/>
      <c r="O72" s="58"/>
      <c r="P72" s="58"/>
      <c r="Q72" s="58"/>
      <c r="R72" s="58"/>
      <c r="S72" s="58"/>
      <c r="T72" s="58"/>
      <c r="U72" s="58"/>
      <c r="V72" s="58"/>
      <c r="W72" s="58"/>
      <c r="X72" s="58"/>
      <c r="Y72" s="58"/>
      <c r="Z72" s="58"/>
    </row>
    <row r="73" spans="1:26" ht="12.75">
      <c r="A73" s="58"/>
      <c r="B73" s="58"/>
      <c r="C73" s="66"/>
      <c r="D73" s="66"/>
      <c r="E73" s="66"/>
      <c r="F73" s="118"/>
      <c r="G73" s="58"/>
      <c r="H73" s="67"/>
      <c r="I73" s="67"/>
      <c r="J73" s="58"/>
      <c r="K73" s="58"/>
      <c r="L73" s="58"/>
      <c r="M73" s="58"/>
      <c r="N73" s="58"/>
      <c r="O73" s="58"/>
      <c r="P73" s="58"/>
      <c r="Q73" s="58"/>
      <c r="R73" s="58"/>
      <c r="S73" s="58"/>
      <c r="T73" s="58"/>
      <c r="U73" s="58"/>
      <c r="V73" s="58"/>
      <c r="W73" s="58"/>
      <c r="X73" s="58"/>
      <c r="Y73" s="58"/>
      <c r="Z73" s="58"/>
    </row>
    <row r="74" spans="1:26" ht="12.75">
      <c r="A74" s="58"/>
      <c r="B74" s="58"/>
      <c r="C74" s="66"/>
      <c r="D74" s="66"/>
      <c r="E74" s="66"/>
      <c r="F74" s="118"/>
      <c r="G74" s="58"/>
      <c r="H74" s="67"/>
      <c r="I74" s="67"/>
      <c r="J74" s="58"/>
      <c r="K74" s="58"/>
      <c r="L74" s="58"/>
      <c r="M74" s="58"/>
      <c r="N74" s="58"/>
      <c r="O74" s="58"/>
      <c r="P74" s="58"/>
      <c r="Q74" s="58"/>
      <c r="R74" s="58"/>
      <c r="S74" s="58"/>
      <c r="T74" s="58"/>
      <c r="U74" s="58"/>
      <c r="V74" s="58"/>
      <c r="W74" s="58"/>
      <c r="X74" s="58"/>
      <c r="Y74" s="58"/>
      <c r="Z74" s="58"/>
    </row>
    <row r="75" spans="1:26" ht="12.75">
      <c r="A75" s="58"/>
      <c r="B75" s="58"/>
      <c r="C75" s="66"/>
      <c r="D75" s="66"/>
      <c r="E75" s="66"/>
      <c r="F75" s="118"/>
      <c r="G75" s="58"/>
      <c r="H75" s="67"/>
      <c r="I75" s="67"/>
      <c r="J75" s="58"/>
      <c r="K75" s="58"/>
      <c r="L75" s="58"/>
      <c r="M75" s="58"/>
      <c r="N75" s="58"/>
      <c r="O75" s="58"/>
      <c r="P75" s="58"/>
      <c r="Q75" s="58"/>
      <c r="R75" s="58"/>
      <c r="S75" s="58"/>
      <c r="T75" s="58"/>
      <c r="U75" s="58"/>
      <c r="V75" s="58"/>
      <c r="W75" s="58"/>
      <c r="X75" s="58"/>
      <c r="Y75" s="58"/>
      <c r="Z75" s="58"/>
    </row>
    <row r="76" spans="1:26" ht="12.75">
      <c r="A76" s="58"/>
      <c r="B76" s="58"/>
      <c r="C76" s="66"/>
      <c r="D76" s="66"/>
      <c r="E76" s="66"/>
      <c r="F76" s="118"/>
      <c r="G76" s="58"/>
      <c r="H76" s="67"/>
      <c r="I76" s="67"/>
      <c r="J76" s="58"/>
      <c r="K76" s="58"/>
      <c r="L76" s="58"/>
      <c r="M76" s="58"/>
      <c r="N76" s="58"/>
      <c r="O76" s="58"/>
      <c r="P76" s="58"/>
      <c r="Q76" s="58"/>
      <c r="R76" s="58"/>
      <c r="S76" s="58"/>
      <c r="T76" s="58"/>
      <c r="U76" s="58"/>
      <c r="V76" s="58"/>
      <c r="W76" s="58"/>
      <c r="X76" s="58"/>
      <c r="Y76" s="58"/>
      <c r="Z76" s="58"/>
    </row>
    <row r="77" spans="1:26" ht="12.75">
      <c r="A77" s="58"/>
      <c r="B77" s="58"/>
      <c r="C77" s="66"/>
      <c r="D77" s="66"/>
      <c r="E77" s="66"/>
      <c r="F77" s="118"/>
      <c r="G77" s="58"/>
      <c r="H77" s="67"/>
      <c r="I77" s="67"/>
      <c r="J77" s="58"/>
      <c r="K77" s="58"/>
      <c r="L77" s="58"/>
      <c r="M77" s="58"/>
      <c r="N77" s="58"/>
      <c r="O77" s="58"/>
      <c r="P77" s="58"/>
      <c r="Q77" s="58"/>
      <c r="R77" s="58"/>
      <c r="S77" s="58"/>
      <c r="T77" s="58"/>
      <c r="U77" s="58"/>
      <c r="V77" s="58"/>
      <c r="W77" s="58"/>
      <c r="X77" s="58"/>
      <c r="Y77" s="58"/>
      <c r="Z77" s="58"/>
    </row>
    <row r="78" spans="1:26" ht="12.75">
      <c r="A78" s="58"/>
      <c r="B78" s="58"/>
      <c r="C78" s="66"/>
      <c r="D78" s="66"/>
      <c r="E78" s="66"/>
      <c r="F78" s="118"/>
      <c r="G78" s="58"/>
      <c r="H78" s="67"/>
      <c r="I78" s="67"/>
      <c r="J78" s="58"/>
      <c r="K78" s="58"/>
      <c r="L78" s="58"/>
      <c r="M78" s="58"/>
      <c r="N78" s="58"/>
      <c r="O78" s="58"/>
      <c r="P78" s="58"/>
      <c r="Q78" s="58"/>
      <c r="R78" s="58"/>
      <c r="S78" s="58"/>
      <c r="T78" s="58"/>
      <c r="U78" s="58"/>
      <c r="V78" s="58"/>
      <c r="W78" s="58"/>
      <c r="X78" s="58"/>
      <c r="Y78" s="58"/>
      <c r="Z78" s="58"/>
    </row>
    <row r="79" spans="1:26" ht="12.75">
      <c r="A79" s="58"/>
      <c r="B79" s="58"/>
      <c r="C79" s="66"/>
      <c r="D79" s="66"/>
      <c r="E79" s="66"/>
      <c r="F79" s="118"/>
      <c r="G79" s="58"/>
      <c r="H79" s="67"/>
      <c r="I79" s="67"/>
      <c r="J79" s="58"/>
      <c r="K79" s="58"/>
      <c r="L79" s="58"/>
      <c r="M79" s="58"/>
      <c r="N79" s="58"/>
      <c r="O79" s="58"/>
      <c r="P79" s="58"/>
      <c r="Q79" s="58"/>
      <c r="R79" s="58"/>
      <c r="S79" s="58"/>
      <c r="T79" s="58"/>
      <c r="U79" s="58"/>
      <c r="V79" s="58"/>
      <c r="W79" s="58"/>
      <c r="X79" s="58"/>
      <c r="Y79" s="58"/>
      <c r="Z79" s="58"/>
    </row>
    <row r="80" spans="1:26" ht="12.75">
      <c r="A80" s="58"/>
      <c r="B80" s="58"/>
      <c r="C80" s="66"/>
      <c r="D80" s="66"/>
      <c r="E80" s="66"/>
      <c r="F80" s="118"/>
      <c r="G80" s="58"/>
      <c r="H80" s="67"/>
      <c r="I80" s="67"/>
      <c r="J80" s="58"/>
      <c r="K80" s="58"/>
      <c r="L80" s="58"/>
      <c r="M80" s="58"/>
      <c r="N80" s="58"/>
      <c r="O80" s="58"/>
      <c r="P80" s="58"/>
      <c r="Q80" s="58"/>
      <c r="R80" s="58"/>
      <c r="S80" s="58"/>
      <c r="T80" s="58"/>
      <c r="U80" s="58"/>
      <c r="V80" s="58"/>
      <c r="W80" s="58"/>
      <c r="X80" s="58"/>
      <c r="Y80" s="58"/>
      <c r="Z80" s="58"/>
    </row>
    <row r="81" ht="12.75">
      <c r="A81" s="58"/>
    </row>
    <row r="82" ht="12.75">
      <c r="A82" s="58"/>
    </row>
    <row r="83" ht="12.75">
      <c r="A83" s="58"/>
    </row>
    <row r="84" ht="12.75">
      <c r="A84" s="58"/>
    </row>
    <row r="85" ht="12.75">
      <c r="A85" s="58"/>
    </row>
    <row r="86" ht="12.75">
      <c r="A86" s="58"/>
    </row>
    <row r="87" ht="12.75">
      <c r="A87" s="58"/>
    </row>
    <row r="88" ht="12.75">
      <c r="A88" s="58"/>
    </row>
    <row r="89" ht="12.75">
      <c r="A89" s="58"/>
    </row>
    <row r="90" ht="12.75">
      <c r="A90" s="58"/>
    </row>
    <row r="91" ht="12.75">
      <c r="A91" s="58"/>
    </row>
    <row r="92" ht="12.75">
      <c r="A92" s="58"/>
    </row>
    <row r="93" ht="12.75">
      <c r="A93" s="58"/>
    </row>
    <row r="94" ht="12.75">
      <c r="A94" s="58"/>
    </row>
    <row r="95" ht="12.75">
      <c r="A95" s="58"/>
    </row>
    <row r="96" ht="12.75">
      <c r="A96" s="58"/>
    </row>
    <row r="97" ht="12.75">
      <c r="A97" s="58"/>
    </row>
    <row r="98" ht="12.75">
      <c r="A98" s="58"/>
    </row>
    <row r="99" ht="12.75">
      <c r="A99" s="58"/>
    </row>
    <row r="100" ht="12.75">
      <c r="A100" s="58"/>
    </row>
    <row r="101" ht="12.75">
      <c r="A101" s="58"/>
    </row>
    <row r="102" ht="12.75">
      <c r="A102" s="58"/>
    </row>
    <row r="103" ht="12.75">
      <c r="A103" s="58"/>
    </row>
    <row r="104" ht="12.75">
      <c r="A104" s="58"/>
    </row>
    <row r="105" ht="12.75">
      <c r="A105" s="58"/>
    </row>
    <row r="106" ht="12.75">
      <c r="A106" s="58"/>
    </row>
    <row r="107" ht="12.75">
      <c r="A107" s="58"/>
    </row>
    <row r="108" ht="12.75">
      <c r="A108" s="58"/>
    </row>
    <row r="109" ht="12.75">
      <c r="A109" s="58"/>
    </row>
    <row r="110" ht="12.75">
      <c r="A110" s="58"/>
    </row>
    <row r="111" ht="12.75">
      <c r="A111" s="58"/>
    </row>
    <row r="112" ht="12.75">
      <c r="A112" s="58"/>
    </row>
    <row r="113" ht="12.75">
      <c r="A113" s="58"/>
    </row>
    <row r="114" ht="12.75">
      <c r="A114" s="58"/>
    </row>
    <row r="115" ht="12.75">
      <c r="A115" s="58"/>
    </row>
    <row r="116" ht="12.75">
      <c r="A116" s="58"/>
    </row>
    <row r="117" ht="12.75">
      <c r="A117" s="58"/>
    </row>
    <row r="118" ht="12.75">
      <c r="A118" s="58"/>
    </row>
    <row r="119" ht="12.75">
      <c r="A119" s="58"/>
    </row>
    <row r="120" ht="12.75">
      <c r="A120" s="58"/>
    </row>
    <row r="121" ht="12.75">
      <c r="A121" s="58"/>
    </row>
    <row r="122" ht="12.75">
      <c r="A122" s="58"/>
    </row>
    <row r="123" ht="12.75">
      <c r="A123" s="58"/>
    </row>
    <row r="124" ht="12.75">
      <c r="A124" s="58"/>
    </row>
    <row r="125" ht="12.75">
      <c r="A125" s="58"/>
    </row>
    <row r="126" ht="12.75">
      <c r="A126" s="58"/>
    </row>
    <row r="127" ht="12.75">
      <c r="A127" s="58"/>
    </row>
    <row r="128" ht="12.75">
      <c r="A128" s="58"/>
    </row>
    <row r="129" ht="12.75">
      <c r="A129" s="58"/>
    </row>
    <row r="130" ht="12.75">
      <c r="A130" s="58"/>
    </row>
    <row r="131" ht="12.75">
      <c r="A131" s="58"/>
    </row>
    <row r="132" ht="12.75">
      <c r="A132" s="58"/>
    </row>
    <row r="133" ht="12.75">
      <c r="A133" s="58"/>
    </row>
    <row r="134" ht="12.75">
      <c r="A134" s="58"/>
    </row>
    <row r="135" ht="12.75">
      <c r="A135" s="58"/>
    </row>
    <row r="136" ht="12.75">
      <c r="A136" s="58"/>
    </row>
    <row r="137" ht="12.75">
      <c r="A137" s="58"/>
    </row>
    <row r="138" ht="12.75">
      <c r="A138" s="58"/>
    </row>
    <row r="139" ht="12.75">
      <c r="A139" s="58"/>
    </row>
    <row r="140" ht="12.75">
      <c r="A140" s="58"/>
    </row>
    <row r="141" ht="12.75">
      <c r="A141" s="58"/>
    </row>
    <row r="142" ht="12.75">
      <c r="A142" s="58"/>
    </row>
    <row r="143" ht="12.75">
      <c r="A143" s="58"/>
    </row>
    <row r="144" ht="12.75">
      <c r="A144" s="58"/>
    </row>
    <row r="145" ht="12.75">
      <c r="A145" s="58"/>
    </row>
    <row r="146" ht="12.75">
      <c r="A146" s="58"/>
    </row>
    <row r="147" ht="12.75">
      <c r="A147" s="58"/>
    </row>
  </sheetData>
  <sheetProtection/>
  <mergeCells count="1">
    <mergeCell ref="C6:I6"/>
  </mergeCells>
  <printOptions/>
  <pageMargins left="0.75" right="0.75" top="1" bottom="1" header="0.5" footer="0.5"/>
  <pageSetup fitToWidth="2" horizontalDpi="600" verticalDpi="600" orientation="portrait" scale="70" r:id="rId1"/>
</worksheet>
</file>

<file path=xl/worksheets/sheet6.xml><?xml version="1.0" encoding="utf-8"?>
<worksheet xmlns="http://schemas.openxmlformats.org/spreadsheetml/2006/main" xmlns:r="http://schemas.openxmlformats.org/officeDocument/2006/relationships">
  <sheetPr codeName="Sheet13">
    <tabColor rgb="FF008887"/>
  </sheetPr>
  <dimension ref="A1:AM708"/>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C6" sqref="C6:J6"/>
    </sheetView>
  </sheetViews>
  <sheetFormatPr defaultColWidth="9.33203125" defaultRowHeight="12.75"/>
  <cols>
    <col min="1" max="1" width="4.16015625" style="0" customWidth="1"/>
    <col min="2" max="2" width="35" style="0" customWidth="1"/>
    <col min="3" max="3" width="13" style="40" customWidth="1"/>
    <col min="4" max="4" width="9.66015625" style="40" hidden="1" customWidth="1"/>
    <col min="5" max="5" width="10.66015625" style="40" bestFit="1" customWidth="1"/>
    <col min="6" max="6" width="9.66015625" style="40" customWidth="1"/>
    <col min="7" max="7" width="8.33203125" style="40" customWidth="1"/>
    <col min="8" max="8" width="8.83203125" style="40" hidden="1" customWidth="1"/>
    <col min="9" max="11" width="8.33203125" style="40" customWidth="1"/>
    <col min="12" max="12" width="7.33203125" style="40" hidden="1" customWidth="1"/>
    <col min="13" max="15" width="8.33203125" style="40" customWidth="1"/>
    <col min="16" max="16" width="7.33203125" style="40" hidden="1" customWidth="1"/>
    <col min="17" max="19" width="8.33203125" style="40" customWidth="1"/>
    <col min="20" max="20" width="5.66015625" style="40" hidden="1" customWidth="1"/>
    <col min="21" max="22" width="8.33203125" style="40" customWidth="1"/>
    <col min="23" max="23" width="9.83203125" style="40" customWidth="1"/>
    <col min="24" max="24" width="7.33203125" style="40" hidden="1" customWidth="1"/>
    <col min="25" max="25" width="13.5" style="40" bestFit="1" customWidth="1"/>
    <col min="26" max="26" width="14.83203125" style="40" bestFit="1" customWidth="1"/>
    <col min="27" max="28" width="13.16015625" style="30" customWidth="1"/>
  </cols>
  <sheetData>
    <row r="1" spans="1:39" ht="12.75">
      <c r="A1" s="58"/>
      <c r="B1" s="58"/>
      <c r="C1" s="66"/>
      <c r="D1" s="66"/>
      <c r="E1" s="66"/>
      <c r="F1" s="66"/>
      <c r="G1" s="66"/>
      <c r="H1" s="66"/>
      <c r="I1" s="66"/>
      <c r="J1" s="66"/>
      <c r="K1" s="66"/>
      <c r="L1" s="66"/>
      <c r="M1" s="66"/>
      <c r="N1" s="66"/>
      <c r="O1" s="66"/>
      <c r="P1" s="66"/>
      <c r="Q1" s="66"/>
      <c r="R1" s="66"/>
      <c r="S1" s="66"/>
      <c r="T1" s="66"/>
      <c r="U1" s="66"/>
      <c r="V1" s="66"/>
      <c r="W1" s="66"/>
      <c r="X1" s="66"/>
      <c r="Y1" s="66"/>
      <c r="Z1" s="66"/>
      <c r="AA1" s="67"/>
      <c r="AB1" s="67"/>
      <c r="AC1" s="58"/>
      <c r="AD1" s="58"/>
      <c r="AE1" s="58"/>
      <c r="AF1" s="58"/>
      <c r="AG1" s="58"/>
      <c r="AH1" s="58"/>
      <c r="AI1" s="58"/>
      <c r="AJ1" s="58"/>
      <c r="AK1" s="58"/>
      <c r="AL1" s="58"/>
      <c r="AM1" s="58"/>
    </row>
    <row r="2" spans="1:39" ht="12.75">
      <c r="A2" s="58"/>
      <c r="B2" s="58"/>
      <c r="C2" s="66"/>
      <c r="D2" s="66"/>
      <c r="E2" s="66"/>
      <c r="F2" s="66"/>
      <c r="G2" s="66"/>
      <c r="H2" s="66"/>
      <c r="I2" s="66"/>
      <c r="J2" s="66"/>
      <c r="K2" s="66"/>
      <c r="L2" s="66"/>
      <c r="M2" s="66"/>
      <c r="N2" s="66"/>
      <c r="O2" s="66"/>
      <c r="P2" s="66"/>
      <c r="Q2" s="66"/>
      <c r="R2" s="66"/>
      <c r="S2" s="66"/>
      <c r="T2" s="66"/>
      <c r="U2" s="66"/>
      <c r="V2" s="66"/>
      <c r="W2" s="66"/>
      <c r="X2" s="66"/>
      <c r="Y2" s="66"/>
      <c r="Z2" s="66"/>
      <c r="AA2" s="67"/>
      <c r="AB2" s="67"/>
      <c r="AC2" s="58"/>
      <c r="AD2" s="58"/>
      <c r="AE2" s="58"/>
      <c r="AF2" s="58"/>
      <c r="AG2" s="58"/>
      <c r="AH2" s="58"/>
      <c r="AI2" s="58"/>
      <c r="AJ2" s="58"/>
      <c r="AK2" s="58"/>
      <c r="AL2" s="58"/>
      <c r="AM2" s="58"/>
    </row>
    <row r="3" spans="1:39" ht="30">
      <c r="A3" s="58"/>
      <c r="B3" s="56" t="s">
        <v>162</v>
      </c>
      <c r="C3" s="66"/>
      <c r="D3" s="66"/>
      <c r="E3" s="66"/>
      <c r="F3" s="66"/>
      <c r="G3" s="66"/>
      <c r="H3" s="66"/>
      <c r="I3" s="66"/>
      <c r="J3" s="66"/>
      <c r="K3" s="66"/>
      <c r="L3" s="66"/>
      <c r="M3" s="66"/>
      <c r="N3" s="66"/>
      <c r="O3" s="66"/>
      <c r="P3" s="66"/>
      <c r="Q3" s="144"/>
      <c r="R3" s="66"/>
      <c r="S3" s="66"/>
      <c r="T3" s="66"/>
      <c r="U3" s="66"/>
      <c r="V3" s="66"/>
      <c r="W3" s="66"/>
      <c r="X3" s="66"/>
      <c r="Y3" s="66"/>
      <c r="Z3" s="66"/>
      <c r="AA3" s="67"/>
      <c r="AB3" s="67"/>
      <c r="AC3" s="58"/>
      <c r="AD3" s="58"/>
      <c r="AE3" s="58"/>
      <c r="AF3" s="58"/>
      <c r="AG3" s="58"/>
      <c r="AH3" s="58"/>
      <c r="AI3" s="58"/>
      <c r="AJ3" s="58"/>
      <c r="AK3" s="58"/>
      <c r="AL3" s="58"/>
      <c r="AM3" s="58"/>
    </row>
    <row r="4" spans="1:39" ht="13.5">
      <c r="A4" s="58"/>
      <c r="B4" s="68" t="s">
        <v>73</v>
      </c>
      <c r="C4" s="70"/>
      <c r="D4" s="70"/>
      <c r="E4" s="70"/>
      <c r="F4" s="66"/>
      <c r="G4" s="66"/>
      <c r="H4" s="66"/>
      <c r="I4" s="66"/>
      <c r="J4" s="66"/>
      <c r="K4" s="66"/>
      <c r="L4" s="66"/>
      <c r="M4" s="66"/>
      <c r="N4" s="66"/>
      <c r="O4" s="66"/>
      <c r="P4" s="66"/>
      <c r="Q4" s="66"/>
      <c r="R4" s="66"/>
      <c r="S4" s="66"/>
      <c r="T4" s="66"/>
      <c r="U4" s="66"/>
      <c r="V4" s="66"/>
      <c r="W4" s="66"/>
      <c r="X4" s="66"/>
      <c r="Y4" s="66"/>
      <c r="Z4" s="66"/>
      <c r="AA4" s="67"/>
      <c r="AB4" s="67"/>
      <c r="AC4" s="58"/>
      <c r="AD4" s="58"/>
      <c r="AE4" s="58"/>
      <c r="AF4" s="58"/>
      <c r="AG4" s="58"/>
      <c r="AH4" s="58"/>
      <c r="AI4" s="58"/>
      <c r="AJ4" s="58"/>
      <c r="AK4" s="58"/>
      <c r="AL4" s="58"/>
      <c r="AM4" s="58"/>
    </row>
    <row r="5" spans="1:39" ht="12.75">
      <c r="A5" s="58"/>
      <c r="B5" s="60"/>
      <c r="C5" s="70"/>
      <c r="D5" s="70"/>
      <c r="E5" s="70"/>
      <c r="F5" s="66"/>
      <c r="G5" s="66"/>
      <c r="H5" s="66"/>
      <c r="I5" s="66"/>
      <c r="J5" s="66"/>
      <c r="K5" s="66"/>
      <c r="L5" s="66"/>
      <c r="M5" s="66"/>
      <c r="N5" s="66"/>
      <c r="O5" s="66"/>
      <c r="P5" s="66"/>
      <c r="Q5" s="66"/>
      <c r="R5" s="66"/>
      <c r="S5" s="66"/>
      <c r="T5" s="66"/>
      <c r="U5" s="66"/>
      <c r="V5" s="66"/>
      <c r="W5" s="66"/>
      <c r="X5" s="66"/>
      <c r="Y5" s="66"/>
      <c r="Z5" s="66"/>
      <c r="AA5" s="67"/>
      <c r="AB5" s="67"/>
      <c r="AC5" s="58"/>
      <c r="AD5" s="58"/>
      <c r="AE5" s="58"/>
      <c r="AF5" s="58"/>
      <c r="AG5" s="58"/>
      <c r="AH5" s="58"/>
      <c r="AI5" s="58"/>
      <c r="AJ5" s="58"/>
      <c r="AK5" s="58"/>
      <c r="AL5" s="58"/>
      <c r="AM5" s="58"/>
    </row>
    <row r="6" spans="1:39" ht="12.75" customHeight="1">
      <c r="A6" s="58"/>
      <c r="B6" s="69" t="s">
        <v>72</v>
      </c>
      <c r="C6" s="398" t="s">
        <v>75</v>
      </c>
      <c r="D6" s="398"/>
      <c r="E6" s="400"/>
      <c r="F6" s="400"/>
      <c r="G6" s="400"/>
      <c r="H6" s="400"/>
      <c r="I6" s="400"/>
      <c r="J6" s="400"/>
      <c r="K6" s="142"/>
      <c r="L6" s="66"/>
      <c r="M6" s="66"/>
      <c r="N6" s="66"/>
      <c r="O6" s="66"/>
      <c r="P6" s="66"/>
      <c r="Q6" s="66"/>
      <c r="R6" s="66"/>
      <c r="S6" s="66"/>
      <c r="T6" s="66"/>
      <c r="U6" s="66"/>
      <c r="V6" s="66"/>
      <c r="W6" s="66"/>
      <c r="X6" s="66"/>
      <c r="Y6" s="66"/>
      <c r="Z6" s="66"/>
      <c r="AA6" s="67"/>
      <c r="AB6" s="67"/>
      <c r="AC6" s="58"/>
      <c r="AD6" s="58"/>
      <c r="AE6" s="58"/>
      <c r="AF6" s="58"/>
      <c r="AG6" s="58"/>
      <c r="AH6" s="58"/>
      <c r="AI6" s="58"/>
      <c r="AJ6" s="58"/>
      <c r="AK6" s="58"/>
      <c r="AL6" s="58"/>
      <c r="AM6" s="58"/>
    </row>
    <row r="7" spans="1:39" ht="12.75" customHeight="1" thickBot="1">
      <c r="A7" s="58"/>
      <c r="B7" s="60"/>
      <c r="C7" s="70"/>
      <c r="D7" s="70"/>
      <c r="E7" s="70"/>
      <c r="F7" s="66"/>
      <c r="G7" s="66"/>
      <c r="H7" s="66"/>
      <c r="I7" s="66"/>
      <c r="J7" s="66"/>
      <c r="K7" s="66"/>
      <c r="L7" s="66"/>
      <c r="M7" s="66"/>
      <c r="N7" s="66"/>
      <c r="O7" s="66"/>
      <c r="P7" s="66"/>
      <c r="Q7" s="66"/>
      <c r="R7" s="66"/>
      <c r="S7" s="66"/>
      <c r="T7" s="66"/>
      <c r="U7" s="66"/>
      <c r="V7" s="66"/>
      <c r="W7" s="66"/>
      <c r="X7" s="66"/>
      <c r="Y7" s="66"/>
      <c r="Z7" s="66"/>
      <c r="AA7" s="67"/>
      <c r="AB7" s="67"/>
      <c r="AC7" s="58"/>
      <c r="AD7" s="58"/>
      <c r="AE7" s="58"/>
      <c r="AF7" s="58"/>
      <c r="AG7" s="58"/>
      <c r="AH7" s="58"/>
      <c r="AI7" s="58"/>
      <c r="AJ7" s="58"/>
      <c r="AK7" s="58"/>
      <c r="AL7" s="58"/>
      <c r="AM7" s="58"/>
    </row>
    <row r="8" spans="1:39" s="14" customFormat="1" ht="13.5">
      <c r="A8" s="63"/>
      <c r="B8" s="12"/>
      <c r="C8" s="395" t="s">
        <v>120</v>
      </c>
      <c r="D8" s="396"/>
      <c r="E8" s="396"/>
      <c r="F8" s="397"/>
      <c r="G8" s="395" t="s">
        <v>194</v>
      </c>
      <c r="H8" s="396"/>
      <c r="I8" s="396"/>
      <c r="J8" s="397"/>
      <c r="K8" s="392" t="s">
        <v>121</v>
      </c>
      <c r="L8" s="393"/>
      <c r="M8" s="393"/>
      <c r="N8" s="394"/>
      <c r="O8" s="395" t="s">
        <v>122</v>
      </c>
      <c r="P8" s="396"/>
      <c r="Q8" s="396"/>
      <c r="R8" s="397"/>
      <c r="S8" s="392" t="s">
        <v>123</v>
      </c>
      <c r="T8" s="393"/>
      <c r="U8" s="393"/>
      <c r="V8" s="394"/>
      <c r="W8" s="41" t="s">
        <v>68</v>
      </c>
      <c r="X8" s="41"/>
      <c r="Y8" s="41" t="s">
        <v>62</v>
      </c>
      <c r="Z8" s="41"/>
      <c r="AA8" s="31"/>
      <c r="AB8" s="32"/>
      <c r="AC8" s="63"/>
      <c r="AD8" s="63"/>
      <c r="AE8" s="63"/>
      <c r="AF8" s="63"/>
      <c r="AG8" s="63"/>
      <c r="AH8" s="63"/>
      <c r="AI8" s="63"/>
      <c r="AJ8" s="63"/>
      <c r="AK8" s="63"/>
      <c r="AL8" s="63"/>
      <c r="AM8" s="63"/>
    </row>
    <row r="9" spans="1:39" s="18" customFormat="1" ht="40.5">
      <c r="A9" s="64"/>
      <c r="B9" s="15" t="s">
        <v>132</v>
      </c>
      <c r="C9" s="42" t="s">
        <v>57</v>
      </c>
      <c r="D9" s="42" t="s">
        <v>230</v>
      </c>
      <c r="E9" s="42" t="s">
        <v>124</v>
      </c>
      <c r="F9" s="42" t="s">
        <v>195</v>
      </c>
      <c r="G9" s="42" t="s">
        <v>57</v>
      </c>
      <c r="H9" s="42" t="s">
        <v>230</v>
      </c>
      <c r="I9" s="42" t="s">
        <v>124</v>
      </c>
      <c r="J9" s="42" t="s">
        <v>195</v>
      </c>
      <c r="K9" s="42" t="s">
        <v>57</v>
      </c>
      <c r="L9" s="42" t="s">
        <v>230</v>
      </c>
      <c r="M9" s="42" t="s">
        <v>124</v>
      </c>
      <c r="N9" s="42" t="s">
        <v>220</v>
      </c>
      <c r="O9" s="42" t="s">
        <v>57</v>
      </c>
      <c r="P9" s="42" t="s">
        <v>230</v>
      </c>
      <c r="Q9" s="42" t="s">
        <v>124</v>
      </c>
      <c r="R9" s="42" t="s">
        <v>195</v>
      </c>
      <c r="S9" s="42" t="s">
        <v>57</v>
      </c>
      <c r="T9" s="42" t="s">
        <v>230</v>
      </c>
      <c r="U9" s="42" t="s">
        <v>124</v>
      </c>
      <c r="V9" s="42" t="s">
        <v>195</v>
      </c>
      <c r="W9" s="42" t="s">
        <v>133</v>
      </c>
      <c r="X9" s="42" t="s">
        <v>230</v>
      </c>
      <c r="Y9" s="43" t="s">
        <v>124</v>
      </c>
      <c r="Z9" s="42" t="s">
        <v>195</v>
      </c>
      <c r="AA9" s="33" t="s">
        <v>134</v>
      </c>
      <c r="AB9" s="35" t="s">
        <v>202</v>
      </c>
      <c r="AC9" s="64"/>
      <c r="AD9" s="64"/>
      <c r="AE9" s="64"/>
      <c r="AF9" s="64"/>
      <c r="AG9" s="64"/>
      <c r="AH9" s="64"/>
      <c r="AI9" s="64"/>
      <c r="AJ9" s="64"/>
      <c r="AK9" s="64"/>
      <c r="AL9" s="64"/>
      <c r="AM9" s="64"/>
    </row>
    <row r="10" spans="1:39" s="27" customFormat="1" ht="11.25">
      <c r="A10" s="65"/>
      <c r="B10" s="23"/>
      <c r="C10" s="24"/>
      <c r="D10" s="52" t="e">
        <f>C10*(HLOOKUP("Electricity",'Energy Conv Factors'!$A$6:$M$17,'General Info'!$E$7,FALSE))/1000</f>
        <v>#VALUE!</v>
      </c>
      <c r="E10" s="51"/>
      <c r="F10" s="52" t="e">
        <f>C10*(HLOOKUP('General Info'!$C$6,'Electricity factors'!$B$3:$N$26,'General Info'!$D$7,TRUE))/1000</f>
        <v>#N/A</v>
      </c>
      <c r="G10" s="24"/>
      <c r="H10" s="52" t="e">
        <f>G10*(HLOOKUP("Natural gas",'Energy Conv Factors'!$A$6:$M$17,'General Info'!$E$7,FALSE))/1000</f>
        <v>#VALUE!</v>
      </c>
      <c r="I10" s="51"/>
      <c r="J10" s="52" t="e">
        <f>G10*(HLOOKUP('General Info'!$C$6,'Natural gas'!B$1:N$2,2,FALSE))</f>
        <v>#N/A</v>
      </c>
      <c r="K10" s="24"/>
      <c r="L10" s="52">
        <f>K10</f>
        <v>0</v>
      </c>
      <c r="M10" s="51"/>
      <c r="N10" s="52">
        <f aca="true" t="shared" si="0" ref="N10:N41">(K10*deco2)</f>
        <v>0</v>
      </c>
      <c r="O10" s="24"/>
      <c r="P10" s="52" t="e">
        <f>O10*(HLOOKUP("Fuel Oil",'Energy Conv Factors'!$A$6:$M$17,'General Info'!$E$7,FALSE))/1000</f>
        <v>#VALUE!</v>
      </c>
      <c r="Q10" s="51"/>
      <c r="R10" s="52">
        <f aca="true" t="shared" si="1" ref="R10:R41">(O10*fueloilco2)</f>
        <v>0</v>
      </c>
      <c r="S10" s="24"/>
      <c r="T10" s="52" t="e">
        <f>S10*(HLOOKUP("Diesel",'Energy Conv Factors'!$A$6:$M$17,'General Info'!$E$7,FALSE))/1000</f>
        <v>#VALUE!</v>
      </c>
      <c r="U10" s="51"/>
      <c r="V10" s="52">
        <f aca="true" t="shared" si="2" ref="V10:V41">(S10*stationarydieselco2)</f>
        <v>0</v>
      </c>
      <c r="W10" s="54"/>
      <c r="X10" s="52" t="e">
        <f>T10+P10+L10+H10+D10</f>
        <v>#VALUE!</v>
      </c>
      <c r="Y10" s="51">
        <f>U10+Q10+L10+I10+E10</f>
        <v>0</v>
      </c>
      <c r="Z10" s="52" t="e">
        <f>V10+R10+N10+J10+F10</f>
        <v>#N/A</v>
      </c>
      <c r="AA10" s="36" t="e">
        <f aca="true" t="shared" si="3" ref="AA10:AA19">Y10/(W10*1000)</f>
        <v>#DIV/0!</v>
      </c>
      <c r="AB10" s="37" t="e">
        <f aca="true" t="shared" si="4" ref="AB10:AB19">Z10/(W10*1000)</f>
        <v>#N/A</v>
      </c>
      <c r="AC10" s="65"/>
      <c r="AD10" s="65"/>
      <c r="AE10" s="65"/>
      <c r="AF10" s="65"/>
      <c r="AG10" s="65"/>
      <c r="AH10" s="65"/>
      <c r="AI10" s="65"/>
      <c r="AJ10" s="65"/>
      <c r="AK10" s="65"/>
      <c r="AL10" s="65"/>
      <c r="AM10" s="65"/>
    </row>
    <row r="11" spans="1:39" s="27" customFormat="1" ht="11.25">
      <c r="A11" s="65"/>
      <c r="B11" s="23"/>
      <c r="C11" s="24"/>
      <c r="D11" s="52" t="e">
        <f>C11*(HLOOKUP("Electricity",'Energy Conv Factors'!$A$6:$M$17,'General Info'!$E$7,FALSE))/1000</f>
        <v>#VALUE!</v>
      </c>
      <c r="E11" s="51"/>
      <c r="F11" s="52" t="e">
        <f>C11*(HLOOKUP('General Info'!$C$6,'Electricity factors'!$B$3:$N$26,'General Info'!$D$7,TRUE))/1000</f>
        <v>#N/A</v>
      </c>
      <c r="G11" s="24"/>
      <c r="H11" s="52" t="e">
        <f>G11*(HLOOKUP("Natural gas",'Energy Conv Factors'!$A$6:$M$17,'General Info'!$E$7,FALSE))/1000</f>
        <v>#VALUE!</v>
      </c>
      <c r="I11" s="51"/>
      <c r="J11" s="52" t="e">
        <f>G11*(HLOOKUP('General Info'!$C$6,'Natural gas'!B$1:N$2,2,FALSE))</f>
        <v>#N/A</v>
      </c>
      <c r="K11" s="24"/>
      <c r="L11" s="52">
        <f aca="true" t="shared" si="5" ref="L11:L59">K11</f>
        <v>0</v>
      </c>
      <c r="M11" s="51"/>
      <c r="N11" s="52">
        <f t="shared" si="0"/>
        <v>0</v>
      </c>
      <c r="O11" s="24"/>
      <c r="P11" s="52" t="e">
        <f>O11*(HLOOKUP("Fuel Oil",'Energy Conv Factors'!$A$6:$M$17,'General Info'!$E$7,FALSE))/1000</f>
        <v>#VALUE!</v>
      </c>
      <c r="Q11" s="51"/>
      <c r="R11" s="52">
        <f t="shared" si="1"/>
        <v>0</v>
      </c>
      <c r="S11" s="24"/>
      <c r="T11" s="52" t="e">
        <f>S11*(HLOOKUP("Diesel",'Energy Conv Factors'!$A$6:$M$17,'General Info'!$E$7,FALSE))/1000</f>
        <v>#VALUE!</v>
      </c>
      <c r="U11" s="51"/>
      <c r="V11" s="52">
        <f t="shared" si="2"/>
        <v>0</v>
      </c>
      <c r="W11" s="54"/>
      <c r="X11" s="52" t="e">
        <f aca="true" t="shared" si="6" ref="X11:X59">T11+P11+L11+H11+D11</f>
        <v>#VALUE!</v>
      </c>
      <c r="Y11" s="51">
        <f aca="true" t="shared" si="7" ref="Y11:Y59">U11+Q11+L11+I11+E11</f>
        <v>0</v>
      </c>
      <c r="Z11" s="52" t="e">
        <f aca="true" t="shared" si="8" ref="Z11:Z59">V11+R11+N11+J11+F11</f>
        <v>#N/A</v>
      </c>
      <c r="AA11" s="36" t="e">
        <f t="shared" si="3"/>
        <v>#DIV/0!</v>
      </c>
      <c r="AB11" s="37" t="e">
        <f t="shared" si="4"/>
        <v>#N/A</v>
      </c>
      <c r="AC11" s="65"/>
      <c r="AD11" s="65"/>
      <c r="AE11" s="65"/>
      <c r="AF11" s="65"/>
      <c r="AG11" s="65"/>
      <c r="AH11" s="65"/>
      <c r="AI11" s="65"/>
      <c r="AJ11" s="65"/>
      <c r="AK11" s="65"/>
      <c r="AL11" s="65"/>
      <c r="AM11" s="65"/>
    </row>
    <row r="12" spans="1:39" s="27" customFormat="1" ht="11.25">
      <c r="A12" s="65"/>
      <c r="B12" s="23"/>
      <c r="C12" s="24"/>
      <c r="D12" s="52" t="e">
        <f>C12*(HLOOKUP("Electricity",'Energy Conv Factors'!$A$6:$M$17,'General Info'!$E$7,FALSE))/1000</f>
        <v>#VALUE!</v>
      </c>
      <c r="E12" s="51"/>
      <c r="F12" s="52" t="e">
        <f>C12*(HLOOKUP('General Info'!$C$6,'Electricity factors'!$B$3:$N$26,'General Info'!$D$7,TRUE))/1000</f>
        <v>#N/A</v>
      </c>
      <c r="G12" s="24"/>
      <c r="H12" s="52" t="e">
        <f>G12*(HLOOKUP("Natural gas",'Energy Conv Factors'!$A$6:$M$17,'General Info'!$E$7,FALSE))/1000</f>
        <v>#VALUE!</v>
      </c>
      <c r="I12" s="51"/>
      <c r="J12" s="52" t="e">
        <f>G12*(HLOOKUP('General Info'!$C$6,'Natural gas'!B$1:N$2,2,FALSE))</f>
        <v>#N/A</v>
      </c>
      <c r="K12" s="24"/>
      <c r="L12" s="52">
        <f t="shared" si="5"/>
        <v>0</v>
      </c>
      <c r="M12" s="51"/>
      <c r="N12" s="52">
        <f t="shared" si="0"/>
        <v>0</v>
      </c>
      <c r="O12" s="24"/>
      <c r="P12" s="52" t="e">
        <f>O12*(HLOOKUP("Fuel Oil",'Energy Conv Factors'!$A$6:$M$17,'General Info'!$E$7,FALSE))/1000</f>
        <v>#VALUE!</v>
      </c>
      <c r="Q12" s="51"/>
      <c r="R12" s="52">
        <f t="shared" si="1"/>
        <v>0</v>
      </c>
      <c r="S12" s="24"/>
      <c r="T12" s="52" t="e">
        <f>S12*(HLOOKUP("Diesel",'Energy Conv Factors'!$A$6:$M$17,'General Info'!$E$7,FALSE))/1000</f>
        <v>#VALUE!</v>
      </c>
      <c r="U12" s="51"/>
      <c r="V12" s="52">
        <f t="shared" si="2"/>
        <v>0</v>
      </c>
      <c r="W12" s="54"/>
      <c r="X12" s="52" t="e">
        <f t="shared" si="6"/>
        <v>#VALUE!</v>
      </c>
      <c r="Y12" s="51">
        <f t="shared" si="7"/>
        <v>0</v>
      </c>
      <c r="Z12" s="52" t="e">
        <f t="shared" si="8"/>
        <v>#N/A</v>
      </c>
      <c r="AA12" s="36" t="e">
        <f t="shared" si="3"/>
        <v>#DIV/0!</v>
      </c>
      <c r="AB12" s="37" t="e">
        <f t="shared" si="4"/>
        <v>#N/A</v>
      </c>
      <c r="AC12" s="65"/>
      <c r="AD12" s="65"/>
      <c r="AE12" s="65"/>
      <c r="AF12" s="65"/>
      <c r="AG12" s="65"/>
      <c r="AH12" s="65"/>
      <c r="AI12" s="65"/>
      <c r="AJ12" s="65"/>
      <c r="AK12" s="65"/>
      <c r="AL12" s="65"/>
      <c r="AM12" s="65"/>
    </row>
    <row r="13" spans="1:39" s="27" customFormat="1" ht="11.25">
      <c r="A13" s="65"/>
      <c r="B13" s="23"/>
      <c r="C13" s="24"/>
      <c r="D13" s="52" t="e">
        <f>C13*(HLOOKUP("Electricity",'Energy Conv Factors'!$A$6:$M$17,'General Info'!$E$7,FALSE))/1000</f>
        <v>#VALUE!</v>
      </c>
      <c r="E13" s="51"/>
      <c r="F13" s="52" t="e">
        <f>C13*(HLOOKUP('General Info'!$C$6,'Electricity factors'!$B$3:$N$26,'General Info'!$D$7,TRUE))/1000</f>
        <v>#N/A</v>
      </c>
      <c r="G13" s="24"/>
      <c r="H13" s="52" t="e">
        <f>G13*(HLOOKUP("Natural gas",'Energy Conv Factors'!$A$6:$M$17,'General Info'!$E$7,FALSE))/1000</f>
        <v>#VALUE!</v>
      </c>
      <c r="I13" s="51"/>
      <c r="J13" s="52" t="e">
        <f>G13*(HLOOKUP('General Info'!$C$6,'Natural gas'!B$1:N$2,2,FALSE))</f>
        <v>#N/A</v>
      </c>
      <c r="K13" s="24"/>
      <c r="L13" s="52">
        <f t="shared" si="5"/>
        <v>0</v>
      </c>
      <c r="M13" s="51"/>
      <c r="N13" s="52">
        <f t="shared" si="0"/>
        <v>0</v>
      </c>
      <c r="O13" s="24"/>
      <c r="P13" s="52" t="e">
        <f>O13*(HLOOKUP("Fuel Oil",'Energy Conv Factors'!$A$6:$M$17,'General Info'!$E$7,FALSE))/1000</f>
        <v>#VALUE!</v>
      </c>
      <c r="Q13" s="51"/>
      <c r="R13" s="52">
        <f t="shared" si="1"/>
        <v>0</v>
      </c>
      <c r="S13" s="24"/>
      <c r="T13" s="52" t="e">
        <f>S13*(HLOOKUP("Diesel",'Energy Conv Factors'!$A$6:$M$17,'General Info'!$E$7,FALSE))/1000</f>
        <v>#VALUE!</v>
      </c>
      <c r="U13" s="51"/>
      <c r="V13" s="52">
        <f t="shared" si="2"/>
        <v>0</v>
      </c>
      <c r="W13" s="54"/>
      <c r="X13" s="52" t="e">
        <f t="shared" si="6"/>
        <v>#VALUE!</v>
      </c>
      <c r="Y13" s="51">
        <f t="shared" si="7"/>
        <v>0</v>
      </c>
      <c r="Z13" s="52" t="e">
        <f t="shared" si="8"/>
        <v>#N/A</v>
      </c>
      <c r="AA13" s="36" t="e">
        <f t="shared" si="3"/>
        <v>#DIV/0!</v>
      </c>
      <c r="AB13" s="37" t="e">
        <f t="shared" si="4"/>
        <v>#N/A</v>
      </c>
      <c r="AC13" s="65"/>
      <c r="AD13" s="65"/>
      <c r="AE13" s="65"/>
      <c r="AF13" s="65"/>
      <c r="AG13" s="65"/>
      <c r="AH13" s="65"/>
      <c r="AI13" s="65"/>
      <c r="AJ13" s="65"/>
      <c r="AK13" s="65"/>
      <c r="AL13" s="65"/>
      <c r="AM13" s="65"/>
    </row>
    <row r="14" spans="1:39" s="27" customFormat="1" ht="11.25">
      <c r="A14" s="65"/>
      <c r="B14" s="23"/>
      <c r="C14" s="24"/>
      <c r="D14" s="52" t="e">
        <f>C14*(HLOOKUP("Electricity",'Energy Conv Factors'!$A$6:$M$17,'General Info'!$E$7,FALSE))/1000</f>
        <v>#VALUE!</v>
      </c>
      <c r="E14" s="51"/>
      <c r="F14" s="52" t="e">
        <f>C14*(HLOOKUP('General Info'!$C$6,'Electricity factors'!$B$3:$N$26,'General Info'!$D$7,TRUE))/1000</f>
        <v>#N/A</v>
      </c>
      <c r="G14" s="24"/>
      <c r="H14" s="52" t="e">
        <f>G14*(HLOOKUP("Natural gas",'Energy Conv Factors'!$A$6:$M$17,'General Info'!$E$7,FALSE))/1000</f>
        <v>#VALUE!</v>
      </c>
      <c r="I14" s="51"/>
      <c r="J14" s="52" t="e">
        <f>G14*(HLOOKUP('General Info'!$C$6,'Natural gas'!B$1:N$2,2,FALSE))</f>
        <v>#N/A</v>
      </c>
      <c r="K14" s="24"/>
      <c r="L14" s="52">
        <f t="shared" si="5"/>
        <v>0</v>
      </c>
      <c r="M14" s="51"/>
      <c r="N14" s="52">
        <f t="shared" si="0"/>
        <v>0</v>
      </c>
      <c r="O14" s="24"/>
      <c r="P14" s="52" t="e">
        <f>O14*(HLOOKUP("Fuel Oil",'Energy Conv Factors'!$A$6:$M$17,'General Info'!$E$7,FALSE))/1000</f>
        <v>#VALUE!</v>
      </c>
      <c r="Q14" s="51"/>
      <c r="R14" s="52">
        <f t="shared" si="1"/>
        <v>0</v>
      </c>
      <c r="S14" s="24"/>
      <c r="T14" s="52" t="e">
        <f>S14*(HLOOKUP("Diesel",'Energy Conv Factors'!$A$6:$M$17,'General Info'!$E$7,FALSE))/1000</f>
        <v>#VALUE!</v>
      </c>
      <c r="U14" s="51"/>
      <c r="V14" s="52">
        <f t="shared" si="2"/>
        <v>0</v>
      </c>
      <c r="W14" s="54"/>
      <c r="X14" s="52" t="e">
        <f t="shared" si="6"/>
        <v>#VALUE!</v>
      </c>
      <c r="Y14" s="51">
        <f t="shared" si="7"/>
        <v>0</v>
      </c>
      <c r="Z14" s="52" t="e">
        <f t="shared" si="8"/>
        <v>#N/A</v>
      </c>
      <c r="AA14" s="36" t="e">
        <f t="shared" si="3"/>
        <v>#DIV/0!</v>
      </c>
      <c r="AB14" s="37" t="e">
        <f t="shared" si="4"/>
        <v>#N/A</v>
      </c>
      <c r="AC14" s="65"/>
      <c r="AD14" s="65"/>
      <c r="AE14" s="65"/>
      <c r="AF14" s="65"/>
      <c r="AG14" s="65"/>
      <c r="AH14" s="65"/>
      <c r="AI14" s="65"/>
      <c r="AJ14" s="65"/>
      <c r="AK14" s="65"/>
      <c r="AL14" s="65"/>
      <c r="AM14" s="65"/>
    </row>
    <row r="15" spans="1:39" s="27" customFormat="1" ht="11.25">
      <c r="A15" s="65"/>
      <c r="B15" s="23"/>
      <c r="C15" s="24"/>
      <c r="D15" s="52" t="e">
        <f>C15*(HLOOKUP("Electricity",'Energy Conv Factors'!$A$6:$M$17,'General Info'!$E$7,FALSE))/1000</f>
        <v>#VALUE!</v>
      </c>
      <c r="E15" s="51"/>
      <c r="F15" s="52" t="e">
        <f>C15*(HLOOKUP('General Info'!$C$6,'Electricity factors'!$B$3:$N$26,'General Info'!$D$7,TRUE))/1000</f>
        <v>#N/A</v>
      </c>
      <c r="G15" s="24"/>
      <c r="H15" s="52" t="e">
        <f>G15*(HLOOKUP("Natural gas",'Energy Conv Factors'!$A$6:$M$17,'General Info'!$E$7,FALSE))/1000</f>
        <v>#VALUE!</v>
      </c>
      <c r="I15" s="51"/>
      <c r="J15" s="52" t="e">
        <f>G15*(HLOOKUP('General Info'!$C$6,'Natural gas'!B$1:N$2,2,FALSE))</f>
        <v>#N/A</v>
      </c>
      <c r="K15" s="24"/>
      <c r="L15" s="52">
        <f t="shared" si="5"/>
        <v>0</v>
      </c>
      <c r="M15" s="51"/>
      <c r="N15" s="52">
        <f t="shared" si="0"/>
        <v>0</v>
      </c>
      <c r="O15" s="24"/>
      <c r="P15" s="52" t="e">
        <f>O15*(HLOOKUP("Fuel Oil",'Energy Conv Factors'!$A$6:$M$17,'General Info'!$E$7,FALSE))/1000</f>
        <v>#VALUE!</v>
      </c>
      <c r="Q15" s="51"/>
      <c r="R15" s="52">
        <f t="shared" si="1"/>
        <v>0</v>
      </c>
      <c r="S15" s="24"/>
      <c r="T15" s="52" t="e">
        <f>S15*(HLOOKUP("Diesel",'Energy Conv Factors'!$A$6:$M$17,'General Info'!$E$7,FALSE))/1000</f>
        <v>#VALUE!</v>
      </c>
      <c r="U15" s="51"/>
      <c r="V15" s="52">
        <f t="shared" si="2"/>
        <v>0</v>
      </c>
      <c r="W15" s="54"/>
      <c r="X15" s="52" t="e">
        <f t="shared" si="6"/>
        <v>#VALUE!</v>
      </c>
      <c r="Y15" s="51">
        <f t="shared" si="7"/>
        <v>0</v>
      </c>
      <c r="Z15" s="52" t="e">
        <f t="shared" si="8"/>
        <v>#N/A</v>
      </c>
      <c r="AA15" s="36" t="e">
        <f t="shared" si="3"/>
        <v>#DIV/0!</v>
      </c>
      <c r="AB15" s="37" t="e">
        <f t="shared" si="4"/>
        <v>#N/A</v>
      </c>
      <c r="AC15" s="65"/>
      <c r="AD15" s="65"/>
      <c r="AE15" s="65"/>
      <c r="AF15" s="65"/>
      <c r="AG15" s="65"/>
      <c r="AH15" s="65"/>
      <c r="AI15" s="65"/>
      <c r="AJ15" s="65"/>
      <c r="AK15" s="65"/>
      <c r="AL15" s="65"/>
      <c r="AM15" s="65"/>
    </row>
    <row r="16" spans="1:39" s="27" customFormat="1" ht="11.25">
      <c r="A16" s="65"/>
      <c r="B16" s="23"/>
      <c r="C16" s="24"/>
      <c r="D16" s="52" t="e">
        <f>C16*(HLOOKUP("Electricity",'Energy Conv Factors'!$A$6:$M$17,'General Info'!$E$7,FALSE))/1000</f>
        <v>#VALUE!</v>
      </c>
      <c r="E16" s="51"/>
      <c r="F16" s="52" t="e">
        <f>C16*(HLOOKUP('General Info'!$C$6,'Electricity factors'!$B$3:$N$26,'General Info'!$D$7,TRUE))/1000</f>
        <v>#N/A</v>
      </c>
      <c r="G16" s="24"/>
      <c r="H16" s="52" t="e">
        <f>G16*(HLOOKUP("Natural gas",'Energy Conv Factors'!$A$6:$M$17,'General Info'!$E$7,FALSE))/1000</f>
        <v>#VALUE!</v>
      </c>
      <c r="I16" s="51"/>
      <c r="J16" s="52" t="e">
        <f>G16*(HLOOKUP('General Info'!$C$6,'Natural gas'!B$1:N$2,2,FALSE))</f>
        <v>#N/A</v>
      </c>
      <c r="K16" s="24"/>
      <c r="L16" s="52">
        <f t="shared" si="5"/>
        <v>0</v>
      </c>
      <c r="M16" s="51"/>
      <c r="N16" s="52">
        <f t="shared" si="0"/>
        <v>0</v>
      </c>
      <c r="O16" s="24"/>
      <c r="P16" s="52" t="e">
        <f>O16*(HLOOKUP("Fuel Oil",'Energy Conv Factors'!$A$6:$M$17,'General Info'!$E$7,FALSE))/1000</f>
        <v>#VALUE!</v>
      </c>
      <c r="Q16" s="51"/>
      <c r="R16" s="52">
        <f t="shared" si="1"/>
        <v>0</v>
      </c>
      <c r="S16" s="24"/>
      <c r="T16" s="52" t="e">
        <f>S16*(HLOOKUP("Diesel",'Energy Conv Factors'!$A$6:$M$17,'General Info'!$E$7,FALSE))/1000</f>
        <v>#VALUE!</v>
      </c>
      <c r="U16" s="51"/>
      <c r="V16" s="52">
        <f t="shared" si="2"/>
        <v>0</v>
      </c>
      <c r="W16" s="54"/>
      <c r="X16" s="52" t="e">
        <f t="shared" si="6"/>
        <v>#VALUE!</v>
      </c>
      <c r="Y16" s="51">
        <f t="shared" si="7"/>
        <v>0</v>
      </c>
      <c r="Z16" s="52" t="e">
        <f t="shared" si="8"/>
        <v>#N/A</v>
      </c>
      <c r="AA16" s="36" t="e">
        <f t="shared" si="3"/>
        <v>#DIV/0!</v>
      </c>
      <c r="AB16" s="37" t="e">
        <f t="shared" si="4"/>
        <v>#N/A</v>
      </c>
      <c r="AC16" s="65"/>
      <c r="AD16" s="65"/>
      <c r="AE16" s="65"/>
      <c r="AF16" s="65"/>
      <c r="AG16" s="65"/>
      <c r="AH16" s="65"/>
      <c r="AI16" s="65"/>
      <c r="AJ16" s="65"/>
      <c r="AK16" s="65"/>
      <c r="AL16" s="65"/>
      <c r="AM16" s="65"/>
    </row>
    <row r="17" spans="1:39" s="27" customFormat="1" ht="11.25">
      <c r="A17" s="65"/>
      <c r="B17" s="23"/>
      <c r="C17" s="24"/>
      <c r="D17" s="52" t="e">
        <f>C17*(HLOOKUP("Electricity",'Energy Conv Factors'!$A$6:$M$17,'General Info'!$E$7,FALSE))/1000</f>
        <v>#VALUE!</v>
      </c>
      <c r="E17" s="51"/>
      <c r="F17" s="52" t="e">
        <f>C17*(HLOOKUP('General Info'!$C$6,'Electricity factors'!$B$3:$N$26,'General Info'!$D$7,TRUE))/1000</f>
        <v>#N/A</v>
      </c>
      <c r="G17" s="24"/>
      <c r="H17" s="52" t="e">
        <f>G17*(HLOOKUP("Natural gas",'Energy Conv Factors'!$A$6:$M$17,'General Info'!$E$7,FALSE))/1000</f>
        <v>#VALUE!</v>
      </c>
      <c r="I17" s="51"/>
      <c r="J17" s="52" t="e">
        <f>G17*(HLOOKUP('General Info'!$C$6,'Natural gas'!B$1:N$2,2,FALSE))</f>
        <v>#N/A</v>
      </c>
      <c r="K17" s="24"/>
      <c r="L17" s="52">
        <f t="shared" si="5"/>
        <v>0</v>
      </c>
      <c r="M17" s="51"/>
      <c r="N17" s="52">
        <f t="shared" si="0"/>
        <v>0</v>
      </c>
      <c r="O17" s="24"/>
      <c r="P17" s="52" t="e">
        <f>O17*(HLOOKUP("Fuel Oil",'Energy Conv Factors'!$A$6:$M$17,'General Info'!$E$7,FALSE))/1000</f>
        <v>#VALUE!</v>
      </c>
      <c r="Q17" s="51"/>
      <c r="R17" s="52">
        <f t="shared" si="1"/>
        <v>0</v>
      </c>
      <c r="S17" s="24"/>
      <c r="T17" s="52" t="e">
        <f>S17*(HLOOKUP("Diesel",'Energy Conv Factors'!$A$6:$M$17,'General Info'!$E$7,FALSE))/1000</f>
        <v>#VALUE!</v>
      </c>
      <c r="U17" s="51"/>
      <c r="V17" s="52">
        <f t="shared" si="2"/>
        <v>0</v>
      </c>
      <c r="W17" s="54"/>
      <c r="X17" s="52" t="e">
        <f t="shared" si="6"/>
        <v>#VALUE!</v>
      </c>
      <c r="Y17" s="51">
        <f t="shared" si="7"/>
        <v>0</v>
      </c>
      <c r="Z17" s="52" t="e">
        <f t="shared" si="8"/>
        <v>#N/A</v>
      </c>
      <c r="AA17" s="36" t="e">
        <f t="shared" si="3"/>
        <v>#DIV/0!</v>
      </c>
      <c r="AB17" s="37" t="e">
        <f t="shared" si="4"/>
        <v>#N/A</v>
      </c>
      <c r="AC17" s="65"/>
      <c r="AD17" s="65"/>
      <c r="AE17" s="65"/>
      <c r="AF17" s="65"/>
      <c r="AG17" s="65"/>
      <c r="AH17" s="65"/>
      <c r="AI17" s="65"/>
      <c r="AJ17" s="65"/>
      <c r="AK17" s="65"/>
      <c r="AL17" s="65"/>
      <c r="AM17" s="65"/>
    </row>
    <row r="18" spans="1:39" s="27" customFormat="1" ht="11.25">
      <c r="A18" s="65"/>
      <c r="B18" s="23"/>
      <c r="C18" s="24"/>
      <c r="D18" s="52" t="e">
        <f>C18*(HLOOKUP("Electricity",'Energy Conv Factors'!$A$6:$M$17,'General Info'!$E$7,FALSE))/1000</f>
        <v>#VALUE!</v>
      </c>
      <c r="E18" s="51"/>
      <c r="F18" s="52" t="e">
        <f>C18*(HLOOKUP('General Info'!$C$6,'Electricity factors'!$B$3:$N$26,'General Info'!$D$7,TRUE))/1000</f>
        <v>#N/A</v>
      </c>
      <c r="G18" s="24"/>
      <c r="H18" s="52" t="e">
        <f>G18*(HLOOKUP("Natural gas",'Energy Conv Factors'!$A$6:$M$17,'General Info'!$E$7,FALSE))/1000</f>
        <v>#VALUE!</v>
      </c>
      <c r="I18" s="51"/>
      <c r="J18" s="52" t="e">
        <f>G18*(HLOOKUP('General Info'!$C$6,'Natural gas'!B$1:N$2,2,FALSE))</f>
        <v>#N/A</v>
      </c>
      <c r="K18" s="24"/>
      <c r="L18" s="52">
        <f t="shared" si="5"/>
        <v>0</v>
      </c>
      <c r="M18" s="51"/>
      <c r="N18" s="52">
        <f t="shared" si="0"/>
        <v>0</v>
      </c>
      <c r="O18" s="24"/>
      <c r="P18" s="52" t="e">
        <f>O18*(HLOOKUP("Fuel Oil",'Energy Conv Factors'!$A$6:$M$17,'General Info'!$E$7,FALSE))/1000</f>
        <v>#VALUE!</v>
      </c>
      <c r="Q18" s="51"/>
      <c r="R18" s="52">
        <f t="shared" si="1"/>
        <v>0</v>
      </c>
      <c r="S18" s="24"/>
      <c r="T18" s="52" t="e">
        <f>S18*(HLOOKUP("Diesel",'Energy Conv Factors'!$A$6:$M$17,'General Info'!$E$7,FALSE))/1000</f>
        <v>#VALUE!</v>
      </c>
      <c r="U18" s="51"/>
      <c r="V18" s="52">
        <f t="shared" si="2"/>
        <v>0</v>
      </c>
      <c r="W18" s="54"/>
      <c r="X18" s="52" t="e">
        <f t="shared" si="6"/>
        <v>#VALUE!</v>
      </c>
      <c r="Y18" s="51">
        <f t="shared" si="7"/>
        <v>0</v>
      </c>
      <c r="Z18" s="52" t="e">
        <f t="shared" si="8"/>
        <v>#N/A</v>
      </c>
      <c r="AA18" s="36" t="e">
        <f t="shared" si="3"/>
        <v>#DIV/0!</v>
      </c>
      <c r="AB18" s="37" t="e">
        <f t="shared" si="4"/>
        <v>#N/A</v>
      </c>
      <c r="AC18" s="65"/>
      <c r="AD18" s="65"/>
      <c r="AE18" s="65"/>
      <c r="AF18" s="65"/>
      <c r="AG18" s="65"/>
      <c r="AH18" s="65"/>
      <c r="AI18" s="65"/>
      <c r="AJ18" s="65"/>
      <c r="AK18" s="65"/>
      <c r="AL18" s="65"/>
      <c r="AM18" s="65"/>
    </row>
    <row r="19" spans="1:39" s="27" customFormat="1" ht="11.25">
      <c r="A19" s="65"/>
      <c r="B19" s="23"/>
      <c r="C19" s="24"/>
      <c r="D19" s="52" t="e">
        <f>C19*(HLOOKUP("Electricity",'Energy Conv Factors'!$A$6:$M$17,'General Info'!$E$7,FALSE))/1000</f>
        <v>#VALUE!</v>
      </c>
      <c r="E19" s="51"/>
      <c r="F19" s="52" t="e">
        <f>C19*(HLOOKUP('General Info'!$C$6,'Electricity factors'!$B$3:$N$26,'General Info'!$D$7,TRUE))/1000</f>
        <v>#N/A</v>
      </c>
      <c r="G19" s="24"/>
      <c r="H19" s="52" t="e">
        <f>G19*(HLOOKUP("Natural gas",'Energy Conv Factors'!$A$6:$M$17,'General Info'!$E$7,FALSE))/1000</f>
        <v>#VALUE!</v>
      </c>
      <c r="I19" s="51"/>
      <c r="J19" s="52" t="e">
        <f>G19*(HLOOKUP('General Info'!$C$6,'Natural gas'!B$1:N$2,2,FALSE))</f>
        <v>#N/A</v>
      </c>
      <c r="K19" s="24"/>
      <c r="L19" s="52">
        <f t="shared" si="5"/>
        <v>0</v>
      </c>
      <c r="M19" s="51"/>
      <c r="N19" s="52">
        <f t="shared" si="0"/>
        <v>0</v>
      </c>
      <c r="O19" s="24"/>
      <c r="P19" s="52" t="e">
        <f>O19*(HLOOKUP("Fuel Oil",'Energy Conv Factors'!$A$6:$M$17,'General Info'!$E$7,FALSE))/1000</f>
        <v>#VALUE!</v>
      </c>
      <c r="Q19" s="51"/>
      <c r="R19" s="52">
        <f t="shared" si="1"/>
        <v>0</v>
      </c>
      <c r="S19" s="24"/>
      <c r="T19" s="52" t="e">
        <f>S19*(HLOOKUP("Diesel",'Energy Conv Factors'!$A$6:$M$17,'General Info'!$E$7,FALSE))/1000</f>
        <v>#VALUE!</v>
      </c>
      <c r="U19" s="51"/>
      <c r="V19" s="52">
        <f t="shared" si="2"/>
        <v>0</v>
      </c>
      <c r="W19" s="54"/>
      <c r="X19" s="52" t="e">
        <f t="shared" si="6"/>
        <v>#VALUE!</v>
      </c>
      <c r="Y19" s="51">
        <f t="shared" si="7"/>
        <v>0</v>
      </c>
      <c r="Z19" s="52" t="e">
        <f t="shared" si="8"/>
        <v>#N/A</v>
      </c>
      <c r="AA19" s="36" t="e">
        <f t="shared" si="3"/>
        <v>#DIV/0!</v>
      </c>
      <c r="AB19" s="37" t="e">
        <f t="shared" si="4"/>
        <v>#N/A</v>
      </c>
      <c r="AC19" s="65"/>
      <c r="AD19" s="65"/>
      <c r="AE19" s="65"/>
      <c r="AF19" s="65"/>
      <c r="AG19" s="65"/>
      <c r="AH19" s="65"/>
      <c r="AI19" s="65"/>
      <c r="AJ19" s="65"/>
      <c r="AK19" s="65"/>
      <c r="AL19" s="65"/>
      <c r="AM19" s="65"/>
    </row>
    <row r="20" spans="1:39" s="27" customFormat="1" ht="11.25">
      <c r="A20" s="65"/>
      <c r="B20" s="23"/>
      <c r="C20" s="24"/>
      <c r="D20" s="52" t="e">
        <f>C20*(HLOOKUP("Electricity",'Energy Conv Factors'!$A$6:$M$17,'General Info'!$E$7,FALSE))/1000</f>
        <v>#VALUE!</v>
      </c>
      <c r="E20" s="51"/>
      <c r="F20" s="52" t="e">
        <f>C20*(HLOOKUP('General Info'!$C$6,'Electricity factors'!$B$3:$N$26,'General Info'!$D$7,TRUE))/1000</f>
        <v>#N/A</v>
      </c>
      <c r="G20" s="24"/>
      <c r="H20" s="52" t="e">
        <f>G20*(HLOOKUP("Natural gas",'Energy Conv Factors'!$A$6:$M$17,'General Info'!$E$7,FALSE))/1000</f>
        <v>#VALUE!</v>
      </c>
      <c r="I20" s="51"/>
      <c r="J20" s="52" t="e">
        <f>G20*(HLOOKUP('General Info'!$C$6,'Natural gas'!B$1:N$2,2,FALSE))</f>
        <v>#N/A</v>
      </c>
      <c r="K20" s="24"/>
      <c r="L20" s="52">
        <f t="shared" si="5"/>
        <v>0</v>
      </c>
      <c r="M20" s="51"/>
      <c r="N20" s="52">
        <f t="shared" si="0"/>
        <v>0</v>
      </c>
      <c r="O20" s="24"/>
      <c r="P20" s="52" t="e">
        <f>O20*(HLOOKUP("Fuel Oil",'Energy Conv Factors'!$A$6:$M$17,'General Info'!$E$7,FALSE))/1000</f>
        <v>#VALUE!</v>
      </c>
      <c r="Q20" s="51"/>
      <c r="R20" s="52">
        <f t="shared" si="1"/>
        <v>0</v>
      </c>
      <c r="S20" s="24"/>
      <c r="T20" s="52" t="e">
        <f>S20*(HLOOKUP("Diesel",'Energy Conv Factors'!$A$6:$M$17,'General Info'!$E$7,FALSE))/1000</f>
        <v>#VALUE!</v>
      </c>
      <c r="U20" s="51"/>
      <c r="V20" s="52">
        <f t="shared" si="2"/>
        <v>0</v>
      </c>
      <c r="W20" s="54"/>
      <c r="X20" s="52" t="e">
        <f t="shared" si="6"/>
        <v>#VALUE!</v>
      </c>
      <c r="Y20" s="51">
        <f t="shared" si="7"/>
        <v>0</v>
      </c>
      <c r="Z20" s="52" t="e">
        <f t="shared" si="8"/>
        <v>#N/A</v>
      </c>
      <c r="AA20" s="36" t="e">
        <f aca="true" t="shared" si="9" ref="AA20:AA34">Y20/(W20*1000)</f>
        <v>#DIV/0!</v>
      </c>
      <c r="AB20" s="37" t="e">
        <f aca="true" t="shared" si="10" ref="AB20:AB34">Z20/(W20*1000)</f>
        <v>#N/A</v>
      </c>
      <c r="AC20" s="65"/>
      <c r="AD20" s="65"/>
      <c r="AE20" s="65"/>
      <c r="AF20" s="65"/>
      <c r="AG20" s="65"/>
      <c r="AH20" s="65"/>
      <c r="AI20" s="65"/>
      <c r="AJ20" s="65"/>
      <c r="AK20" s="65"/>
      <c r="AL20" s="65"/>
      <c r="AM20" s="65"/>
    </row>
    <row r="21" spans="1:39" s="27" customFormat="1" ht="11.25">
      <c r="A21" s="65"/>
      <c r="B21" s="23"/>
      <c r="C21" s="24"/>
      <c r="D21" s="52" t="e">
        <f>C21*(HLOOKUP("Electricity",'Energy Conv Factors'!$A$6:$M$17,'General Info'!$E$7,FALSE))/1000</f>
        <v>#VALUE!</v>
      </c>
      <c r="E21" s="51"/>
      <c r="F21" s="52" t="e">
        <f>C21*(HLOOKUP('General Info'!$C$6,'Electricity factors'!$B$3:$N$26,'General Info'!$D$7,TRUE))/1000</f>
        <v>#N/A</v>
      </c>
      <c r="G21" s="24"/>
      <c r="H21" s="52" t="e">
        <f>G21*(HLOOKUP("Natural gas",'Energy Conv Factors'!$A$6:$M$17,'General Info'!$E$7,FALSE))/1000</f>
        <v>#VALUE!</v>
      </c>
      <c r="I21" s="51"/>
      <c r="J21" s="52" t="e">
        <f>G21*(HLOOKUP('General Info'!$C$6,'Natural gas'!B$1:N$2,2,FALSE))</f>
        <v>#N/A</v>
      </c>
      <c r="K21" s="24"/>
      <c r="L21" s="52">
        <f t="shared" si="5"/>
        <v>0</v>
      </c>
      <c r="M21" s="51"/>
      <c r="N21" s="52">
        <f t="shared" si="0"/>
        <v>0</v>
      </c>
      <c r="O21" s="24"/>
      <c r="P21" s="52" t="e">
        <f>O21*(HLOOKUP("Fuel Oil",'Energy Conv Factors'!$A$6:$M$17,'General Info'!$E$7,FALSE))/1000</f>
        <v>#VALUE!</v>
      </c>
      <c r="Q21" s="51"/>
      <c r="R21" s="52">
        <f t="shared" si="1"/>
        <v>0</v>
      </c>
      <c r="S21" s="24"/>
      <c r="T21" s="52" t="e">
        <f>S21*(HLOOKUP("Diesel",'Energy Conv Factors'!$A$6:$M$17,'General Info'!$E$7,FALSE))/1000</f>
        <v>#VALUE!</v>
      </c>
      <c r="U21" s="51"/>
      <c r="V21" s="52">
        <f t="shared" si="2"/>
        <v>0</v>
      </c>
      <c r="W21" s="54"/>
      <c r="X21" s="52" t="e">
        <f t="shared" si="6"/>
        <v>#VALUE!</v>
      </c>
      <c r="Y21" s="51">
        <f t="shared" si="7"/>
        <v>0</v>
      </c>
      <c r="Z21" s="52" t="e">
        <f t="shared" si="8"/>
        <v>#N/A</v>
      </c>
      <c r="AA21" s="36" t="e">
        <f t="shared" si="9"/>
        <v>#DIV/0!</v>
      </c>
      <c r="AB21" s="37" t="e">
        <f t="shared" si="10"/>
        <v>#N/A</v>
      </c>
      <c r="AC21" s="65"/>
      <c r="AD21" s="65"/>
      <c r="AE21" s="65"/>
      <c r="AF21" s="65"/>
      <c r="AG21" s="65"/>
      <c r="AH21" s="65"/>
      <c r="AI21" s="65"/>
      <c r="AJ21" s="65"/>
      <c r="AK21" s="65"/>
      <c r="AL21" s="65"/>
      <c r="AM21" s="65"/>
    </row>
    <row r="22" spans="1:39" s="27" customFormat="1" ht="11.25">
      <c r="A22" s="65"/>
      <c r="B22" s="23"/>
      <c r="C22" s="24"/>
      <c r="D22" s="52" t="e">
        <f>C22*(HLOOKUP("Electricity",'Energy Conv Factors'!$A$6:$M$17,'General Info'!$E$7,FALSE))/1000</f>
        <v>#VALUE!</v>
      </c>
      <c r="E22" s="51"/>
      <c r="F22" s="52" t="e">
        <f>C22*(HLOOKUP('General Info'!$C$6,'Electricity factors'!$B$3:$N$26,'General Info'!$D$7,TRUE))/1000</f>
        <v>#N/A</v>
      </c>
      <c r="G22" s="24"/>
      <c r="H22" s="52" t="e">
        <f>G22*(HLOOKUP("Natural gas",'Energy Conv Factors'!$A$6:$M$17,'General Info'!$E$7,FALSE))/1000</f>
        <v>#VALUE!</v>
      </c>
      <c r="I22" s="51"/>
      <c r="J22" s="52" t="e">
        <f>G22*(HLOOKUP('General Info'!$C$6,'Natural gas'!B$1:N$2,2,FALSE))</f>
        <v>#N/A</v>
      </c>
      <c r="K22" s="24"/>
      <c r="L22" s="52">
        <f t="shared" si="5"/>
        <v>0</v>
      </c>
      <c r="M22" s="51"/>
      <c r="N22" s="52">
        <f t="shared" si="0"/>
        <v>0</v>
      </c>
      <c r="O22" s="24"/>
      <c r="P22" s="52" t="e">
        <f>O22*(HLOOKUP("Fuel Oil",'Energy Conv Factors'!$A$6:$M$17,'General Info'!$E$7,FALSE))/1000</f>
        <v>#VALUE!</v>
      </c>
      <c r="Q22" s="51"/>
      <c r="R22" s="52">
        <f t="shared" si="1"/>
        <v>0</v>
      </c>
      <c r="S22" s="24"/>
      <c r="T22" s="52" t="e">
        <f>S22*(HLOOKUP("Diesel",'Energy Conv Factors'!$A$6:$M$17,'General Info'!$E$7,FALSE))/1000</f>
        <v>#VALUE!</v>
      </c>
      <c r="U22" s="51"/>
      <c r="V22" s="52">
        <f t="shared" si="2"/>
        <v>0</v>
      </c>
      <c r="W22" s="54"/>
      <c r="X22" s="52" t="e">
        <f t="shared" si="6"/>
        <v>#VALUE!</v>
      </c>
      <c r="Y22" s="51">
        <f t="shared" si="7"/>
        <v>0</v>
      </c>
      <c r="Z22" s="52" t="e">
        <f t="shared" si="8"/>
        <v>#N/A</v>
      </c>
      <c r="AA22" s="36" t="e">
        <f t="shared" si="9"/>
        <v>#DIV/0!</v>
      </c>
      <c r="AB22" s="37" t="e">
        <f t="shared" si="10"/>
        <v>#N/A</v>
      </c>
      <c r="AC22" s="65"/>
      <c r="AD22" s="65"/>
      <c r="AE22" s="65"/>
      <c r="AF22" s="65"/>
      <c r="AG22" s="65"/>
      <c r="AH22" s="65"/>
      <c r="AI22" s="65"/>
      <c r="AJ22" s="65"/>
      <c r="AK22" s="65"/>
      <c r="AL22" s="65"/>
      <c r="AM22" s="65"/>
    </row>
    <row r="23" spans="1:39" s="27" customFormat="1" ht="11.25">
      <c r="A23" s="65"/>
      <c r="B23" s="23"/>
      <c r="C23" s="24"/>
      <c r="D23" s="52" t="e">
        <f>C23*(HLOOKUP("Electricity",'Energy Conv Factors'!$A$6:$M$17,'General Info'!$E$7,FALSE))/1000</f>
        <v>#VALUE!</v>
      </c>
      <c r="E23" s="51"/>
      <c r="F23" s="52" t="e">
        <f>C23*(HLOOKUP('General Info'!$C$6,'Electricity factors'!$B$3:$N$26,'General Info'!$D$7,TRUE))/1000</f>
        <v>#N/A</v>
      </c>
      <c r="G23" s="24"/>
      <c r="H23" s="52" t="e">
        <f>G23*(HLOOKUP("Natural gas",'Energy Conv Factors'!$A$6:$M$17,'General Info'!$E$7,FALSE))/1000</f>
        <v>#VALUE!</v>
      </c>
      <c r="I23" s="51"/>
      <c r="J23" s="52" t="e">
        <f>G23*(HLOOKUP('General Info'!$C$6,'Natural gas'!B$1:N$2,2,FALSE))</f>
        <v>#N/A</v>
      </c>
      <c r="K23" s="24"/>
      <c r="L23" s="52">
        <f t="shared" si="5"/>
        <v>0</v>
      </c>
      <c r="M23" s="51"/>
      <c r="N23" s="52">
        <f t="shared" si="0"/>
        <v>0</v>
      </c>
      <c r="O23" s="24"/>
      <c r="P23" s="52" t="e">
        <f>O23*(HLOOKUP("Fuel Oil",'Energy Conv Factors'!$A$6:$M$17,'General Info'!$E$7,FALSE))/1000</f>
        <v>#VALUE!</v>
      </c>
      <c r="Q23" s="51"/>
      <c r="R23" s="52">
        <f t="shared" si="1"/>
        <v>0</v>
      </c>
      <c r="S23" s="24"/>
      <c r="T23" s="52" t="e">
        <f>S23*(HLOOKUP("Diesel",'Energy Conv Factors'!$A$6:$M$17,'General Info'!$E$7,FALSE))/1000</f>
        <v>#VALUE!</v>
      </c>
      <c r="U23" s="51"/>
      <c r="V23" s="52">
        <f t="shared" si="2"/>
        <v>0</v>
      </c>
      <c r="W23" s="54"/>
      <c r="X23" s="52" t="e">
        <f t="shared" si="6"/>
        <v>#VALUE!</v>
      </c>
      <c r="Y23" s="51">
        <f t="shared" si="7"/>
        <v>0</v>
      </c>
      <c r="Z23" s="52" t="e">
        <f t="shared" si="8"/>
        <v>#N/A</v>
      </c>
      <c r="AA23" s="36" t="e">
        <f t="shared" si="9"/>
        <v>#DIV/0!</v>
      </c>
      <c r="AB23" s="37" t="e">
        <f t="shared" si="10"/>
        <v>#N/A</v>
      </c>
      <c r="AC23" s="65"/>
      <c r="AD23" s="65"/>
      <c r="AE23" s="65"/>
      <c r="AF23" s="65"/>
      <c r="AG23" s="65"/>
      <c r="AH23" s="65"/>
      <c r="AI23" s="65"/>
      <c r="AJ23" s="65"/>
      <c r="AK23" s="65"/>
      <c r="AL23" s="65"/>
      <c r="AM23" s="65"/>
    </row>
    <row r="24" spans="1:39" s="27" customFormat="1" ht="11.25">
      <c r="A24" s="65"/>
      <c r="B24" s="23"/>
      <c r="C24" s="24"/>
      <c r="D24" s="52" t="e">
        <f>C24*(HLOOKUP("Electricity",'Energy Conv Factors'!$A$6:$M$17,'General Info'!$E$7,FALSE))/1000</f>
        <v>#VALUE!</v>
      </c>
      <c r="E24" s="51"/>
      <c r="F24" s="52" t="e">
        <f>C24*(HLOOKUP('General Info'!$C$6,'Electricity factors'!$B$3:$N$26,'General Info'!$D$7,TRUE))/1000</f>
        <v>#N/A</v>
      </c>
      <c r="G24" s="24"/>
      <c r="H24" s="52" t="e">
        <f>G24*(HLOOKUP("Natural gas",'Energy Conv Factors'!$A$6:$M$17,'General Info'!$E$7,FALSE))/1000</f>
        <v>#VALUE!</v>
      </c>
      <c r="I24" s="51"/>
      <c r="J24" s="52" t="e">
        <f>G24*(HLOOKUP('General Info'!$C$6,'Natural gas'!B$1:N$2,2,FALSE))</f>
        <v>#N/A</v>
      </c>
      <c r="K24" s="24"/>
      <c r="L24" s="52">
        <f t="shared" si="5"/>
        <v>0</v>
      </c>
      <c r="M24" s="51"/>
      <c r="N24" s="52">
        <f t="shared" si="0"/>
        <v>0</v>
      </c>
      <c r="O24" s="24"/>
      <c r="P24" s="52" t="e">
        <f>O24*(HLOOKUP("Fuel Oil",'Energy Conv Factors'!$A$6:$M$17,'General Info'!$E$7,FALSE))/1000</f>
        <v>#VALUE!</v>
      </c>
      <c r="Q24" s="51"/>
      <c r="R24" s="52">
        <f t="shared" si="1"/>
        <v>0</v>
      </c>
      <c r="S24" s="24"/>
      <c r="T24" s="52" t="e">
        <f>S24*(HLOOKUP("Diesel",'Energy Conv Factors'!$A$6:$M$17,'General Info'!$E$7,FALSE))/1000</f>
        <v>#VALUE!</v>
      </c>
      <c r="U24" s="51"/>
      <c r="V24" s="52">
        <f t="shared" si="2"/>
        <v>0</v>
      </c>
      <c r="W24" s="54"/>
      <c r="X24" s="52" t="e">
        <f t="shared" si="6"/>
        <v>#VALUE!</v>
      </c>
      <c r="Y24" s="51">
        <f t="shared" si="7"/>
        <v>0</v>
      </c>
      <c r="Z24" s="52" t="e">
        <f t="shared" si="8"/>
        <v>#N/A</v>
      </c>
      <c r="AA24" s="36" t="e">
        <f t="shared" si="9"/>
        <v>#DIV/0!</v>
      </c>
      <c r="AB24" s="37" t="e">
        <f t="shared" si="10"/>
        <v>#N/A</v>
      </c>
      <c r="AC24" s="65"/>
      <c r="AD24" s="65"/>
      <c r="AE24" s="65"/>
      <c r="AF24" s="65"/>
      <c r="AG24" s="65"/>
      <c r="AH24" s="65"/>
      <c r="AI24" s="65"/>
      <c r="AJ24" s="65"/>
      <c r="AK24" s="65"/>
      <c r="AL24" s="65"/>
      <c r="AM24" s="65"/>
    </row>
    <row r="25" spans="1:39" s="27" customFormat="1" ht="11.25">
      <c r="A25" s="65"/>
      <c r="B25" s="23"/>
      <c r="C25" s="24"/>
      <c r="D25" s="52" t="e">
        <f>C25*(HLOOKUP("Electricity",'Energy Conv Factors'!$A$6:$M$17,'General Info'!$E$7,FALSE))/1000</f>
        <v>#VALUE!</v>
      </c>
      <c r="E25" s="51"/>
      <c r="F25" s="52" t="e">
        <f>C25*(HLOOKUP('General Info'!$C$6,'Electricity factors'!$B$3:$N$26,'General Info'!$D$7,TRUE))/1000</f>
        <v>#N/A</v>
      </c>
      <c r="G25" s="24"/>
      <c r="H25" s="52" t="e">
        <f>G25*(HLOOKUP("Natural gas",'Energy Conv Factors'!$A$6:$M$17,'General Info'!$E$7,FALSE))/1000</f>
        <v>#VALUE!</v>
      </c>
      <c r="I25" s="51"/>
      <c r="J25" s="52" t="e">
        <f>G25*(HLOOKUP('General Info'!$C$6,'Natural gas'!B$1:N$2,2,FALSE))</f>
        <v>#N/A</v>
      </c>
      <c r="K25" s="24"/>
      <c r="L25" s="52">
        <f t="shared" si="5"/>
        <v>0</v>
      </c>
      <c r="M25" s="51"/>
      <c r="N25" s="52">
        <f t="shared" si="0"/>
        <v>0</v>
      </c>
      <c r="O25" s="24"/>
      <c r="P25" s="52" t="e">
        <f>O25*(HLOOKUP("Fuel Oil",'Energy Conv Factors'!$A$6:$M$17,'General Info'!$E$7,FALSE))/1000</f>
        <v>#VALUE!</v>
      </c>
      <c r="Q25" s="51"/>
      <c r="R25" s="52">
        <f t="shared" si="1"/>
        <v>0</v>
      </c>
      <c r="S25" s="24"/>
      <c r="T25" s="52" t="e">
        <f>S25*(HLOOKUP("Diesel",'Energy Conv Factors'!$A$6:$M$17,'General Info'!$E$7,FALSE))/1000</f>
        <v>#VALUE!</v>
      </c>
      <c r="U25" s="51"/>
      <c r="V25" s="52">
        <f t="shared" si="2"/>
        <v>0</v>
      </c>
      <c r="W25" s="54"/>
      <c r="X25" s="52" t="e">
        <f t="shared" si="6"/>
        <v>#VALUE!</v>
      </c>
      <c r="Y25" s="51">
        <f t="shared" si="7"/>
        <v>0</v>
      </c>
      <c r="Z25" s="52" t="e">
        <f t="shared" si="8"/>
        <v>#N/A</v>
      </c>
      <c r="AA25" s="36" t="e">
        <f t="shared" si="9"/>
        <v>#DIV/0!</v>
      </c>
      <c r="AB25" s="37" t="e">
        <f t="shared" si="10"/>
        <v>#N/A</v>
      </c>
      <c r="AC25" s="65"/>
      <c r="AD25" s="65"/>
      <c r="AE25" s="65"/>
      <c r="AF25" s="65"/>
      <c r="AG25" s="65"/>
      <c r="AH25" s="65"/>
      <c r="AI25" s="65"/>
      <c r="AJ25" s="65"/>
      <c r="AK25" s="65"/>
      <c r="AL25" s="65"/>
      <c r="AM25" s="65"/>
    </row>
    <row r="26" spans="1:39" s="27" customFormat="1" ht="11.25">
      <c r="A26" s="65"/>
      <c r="B26" s="23"/>
      <c r="C26" s="24"/>
      <c r="D26" s="52" t="e">
        <f>C26*(HLOOKUP("Electricity",'Energy Conv Factors'!$A$6:$M$17,'General Info'!$E$7,FALSE))/1000</f>
        <v>#VALUE!</v>
      </c>
      <c r="E26" s="51"/>
      <c r="F26" s="52" t="e">
        <f>C26*(HLOOKUP('General Info'!$C$6,'Electricity factors'!$B$3:$N$26,'General Info'!$D$7,TRUE))/1000</f>
        <v>#N/A</v>
      </c>
      <c r="G26" s="24"/>
      <c r="H26" s="52" t="e">
        <f>G26*(HLOOKUP("Natural gas",'Energy Conv Factors'!$A$6:$M$17,'General Info'!$E$7,FALSE))/1000</f>
        <v>#VALUE!</v>
      </c>
      <c r="I26" s="51"/>
      <c r="J26" s="52" t="e">
        <f>G26*(HLOOKUP('General Info'!$C$6,'Natural gas'!B$1:N$2,2,FALSE))</f>
        <v>#N/A</v>
      </c>
      <c r="K26" s="24"/>
      <c r="L26" s="52">
        <f t="shared" si="5"/>
        <v>0</v>
      </c>
      <c r="M26" s="51"/>
      <c r="N26" s="52">
        <f t="shared" si="0"/>
        <v>0</v>
      </c>
      <c r="O26" s="24"/>
      <c r="P26" s="52" t="e">
        <f>O26*(HLOOKUP("Fuel Oil",'Energy Conv Factors'!$A$6:$M$17,'General Info'!$E$7,FALSE))/1000</f>
        <v>#VALUE!</v>
      </c>
      <c r="Q26" s="51"/>
      <c r="R26" s="52">
        <f t="shared" si="1"/>
        <v>0</v>
      </c>
      <c r="S26" s="24"/>
      <c r="T26" s="52" t="e">
        <f>S26*(HLOOKUP("Diesel",'Energy Conv Factors'!$A$6:$M$17,'General Info'!$E$7,FALSE))/1000</f>
        <v>#VALUE!</v>
      </c>
      <c r="U26" s="51"/>
      <c r="V26" s="52">
        <f t="shared" si="2"/>
        <v>0</v>
      </c>
      <c r="W26" s="54"/>
      <c r="X26" s="52" t="e">
        <f t="shared" si="6"/>
        <v>#VALUE!</v>
      </c>
      <c r="Y26" s="51">
        <f t="shared" si="7"/>
        <v>0</v>
      </c>
      <c r="Z26" s="52" t="e">
        <f t="shared" si="8"/>
        <v>#N/A</v>
      </c>
      <c r="AA26" s="36" t="e">
        <f t="shared" si="9"/>
        <v>#DIV/0!</v>
      </c>
      <c r="AB26" s="37" t="e">
        <f t="shared" si="10"/>
        <v>#N/A</v>
      </c>
      <c r="AC26" s="65"/>
      <c r="AD26" s="65"/>
      <c r="AE26" s="65"/>
      <c r="AF26" s="65"/>
      <c r="AG26" s="65"/>
      <c r="AH26" s="65"/>
      <c r="AI26" s="65"/>
      <c r="AJ26" s="65"/>
      <c r="AK26" s="65"/>
      <c r="AL26" s="65"/>
      <c r="AM26" s="65"/>
    </row>
    <row r="27" spans="1:39" s="27" customFormat="1" ht="11.25">
      <c r="A27" s="65"/>
      <c r="B27" s="23"/>
      <c r="C27" s="24"/>
      <c r="D27" s="52" t="e">
        <f>C27*(HLOOKUP("Electricity",'Energy Conv Factors'!$A$6:$M$17,'General Info'!$E$7,FALSE))/1000</f>
        <v>#VALUE!</v>
      </c>
      <c r="E27" s="51"/>
      <c r="F27" s="52" t="e">
        <f>C27*(HLOOKUP('General Info'!$C$6,'Electricity factors'!$B$3:$N$26,'General Info'!$D$7,TRUE))/1000</f>
        <v>#N/A</v>
      </c>
      <c r="G27" s="24"/>
      <c r="H27" s="52" t="e">
        <f>G27*(HLOOKUP("Natural gas",'Energy Conv Factors'!$A$6:$M$17,'General Info'!$E$7,FALSE))/1000</f>
        <v>#VALUE!</v>
      </c>
      <c r="I27" s="51"/>
      <c r="J27" s="52" t="e">
        <f>G27*(HLOOKUP('General Info'!$C$6,'Natural gas'!B$1:N$2,2,FALSE))</f>
        <v>#N/A</v>
      </c>
      <c r="K27" s="24"/>
      <c r="L27" s="52">
        <f t="shared" si="5"/>
        <v>0</v>
      </c>
      <c r="M27" s="51"/>
      <c r="N27" s="52">
        <f t="shared" si="0"/>
        <v>0</v>
      </c>
      <c r="O27" s="24"/>
      <c r="P27" s="52" t="e">
        <f>O27*(HLOOKUP("Fuel Oil",'Energy Conv Factors'!$A$6:$M$17,'General Info'!$E$7,FALSE))/1000</f>
        <v>#VALUE!</v>
      </c>
      <c r="Q27" s="51"/>
      <c r="R27" s="52">
        <f t="shared" si="1"/>
        <v>0</v>
      </c>
      <c r="S27" s="24"/>
      <c r="T27" s="52" t="e">
        <f>S27*(HLOOKUP("Diesel",'Energy Conv Factors'!$A$6:$M$17,'General Info'!$E$7,FALSE))/1000</f>
        <v>#VALUE!</v>
      </c>
      <c r="U27" s="51"/>
      <c r="V27" s="52">
        <f t="shared" si="2"/>
        <v>0</v>
      </c>
      <c r="W27" s="54"/>
      <c r="X27" s="52" t="e">
        <f t="shared" si="6"/>
        <v>#VALUE!</v>
      </c>
      <c r="Y27" s="51">
        <f t="shared" si="7"/>
        <v>0</v>
      </c>
      <c r="Z27" s="52" t="e">
        <f t="shared" si="8"/>
        <v>#N/A</v>
      </c>
      <c r="AA27" s="36" t="e">
        <f t="shared" si="9"/>
        <v>#DIV/0!</v>
      </c>
      <c r="AB27" s="37" t="e">
        <f t="shared" si="10"/>
        <v>#N/A</v>
      </c>
      <c r="AC27" s="65"/>
      <c r="AD27" s="65"/>
      <c r="AE27" s="65"/>
      <c r="AF27" s="65"/>
      <c r="AG27" s="65"/>
      <c r="AH27" s="65"/>
      <c r="AI27" s="65"/>
      <c r="AJ27" s="65"/>
      <c r="AK27" s="65"/>
      <c r="AL27" s="65"/>
      <c r="AM27" s="65"/>
    </row>
    <row r="28" spans="1:39" s="27" customFormat="1" ht="11.25">
      <c r="A28" s="65"/>
      <c r="B28" s="23"/>
      <c r="C28" s="24"/>
      <c r="D28" s="52" t="e">
        <f>C28*(HLOOKUP("Electricity",'Energy Conv Factors'!$A$6:$M$17,'General Info'!$E$7,FALSE))/1000</f>
        <v>#VALUE!</v>
      </c>
      <c r="E28" s="51"/>
      <c r="F28" s="52" t="e">
        <f>C28*(HLOOKUP('General Info'!$C$6,'Electricity factors'!$B$3:$N$26,'General Info'!$D$7,TRUE))/1000</f>
        <v>#N/A</v>
      </c>
      <c r="G28" s="24"/>
      <c r="H28" s="52" t="e">
        <f>G28*(HLOOKUP("Natural gas",'Energy Conv Factors'!$A$6:$M$17,'General Info'!$E$7,FALSE))/1000</f>
        <v>#VALUE!</v>
      </c>
      <c r="I28" s="51"/>
      <c r="J28" s="52" t="e">
        <f>G28*(HLOOKUP('General Info'!$C$6,'Natural gas'!B$1:N$2,2,FALSE))</f>
        <v>#N/A</v>
      </c>
      <c r="K28" s="24"/>
      <c r="L28" s="52">
        <f t="shared" si="5"/>
        <v>0</v>
      </c>
      <c r="M28" s="51"/>
      <c r="N28" s="52">
        <f t="shared" si="0"/>
        <v>0</v>
      </c>
      <c r="O28" s="24"/>
      <c r="P28" s="52" t="e">
        <f>O28*(HLOOKUP("Fuel Oil",'Energy Conv Factors'!$A$6:$M$17,'General Info'!$E$7,FALSE))/1000</f>
        <v>#VALUE!</v>
      </c>
      <c r="Q28" s="51"/>
      <c r="R28" s="52">
        <f t="shared" si="1"/>
        <v>0</v>
      </c>
      <c r="S28" s="24"/>
      <c r="T28" s="52" t="e">
        <f>S28*(HLOOKUP("Diesel",'Energy Conv Factors'!$A$6:$M$17,'General Info'!$E$7,FALSE))/1000</f>
        <v>#VALUE!</v>
      </c>
      <c r="U28" s="51"/>
      <c r="V28" s="52">
        <f t="shared" si="2"/>
        <v>0</v>
      </c>
      <c r="W28" s="54"/>
      <c r="X28" s="52" t="e">
        <f t="shared" si="6"/>
        <v>#VALUE!</v>
      </c>
      <c r="Y28" s="51">
        <f t="shared" si="7"/>
        <v>0</v>
      </c>
      <c r="Z28" s="52" t="e">
        <f t="shared" si="8"/>
        <v>#N/A</v>
      </c>
      <c r="AA28" s="36" t="e">
        <f t="shared" si="9"/>
        <v>#DIV/0!</v>
      </c>
      <c r="AB28" s="37" t="e">
        <f t="shared" si="10"/>
        <v>#N/A</v>
      </c>
      <c r="AC28" s="65"/>
      <c r="AD28" s="65"/>
      <c r="AE28" s="65"/>
      <c r="AF28" s="65"/>
      <c r="AG28" s="65"/>
      <c r="AH28" s="65"/>
      <c r="AI28" s="65"/>
      <c r="AJ28" s="65"/>
      <c r="AK28" s="65"/>
      <c r="AL28" s="65"/>
      <c r="AM28" s="65"/>
    </row>
    <row r="29" spans="1:39" s="27" customFormat="1" ht="11.25">
      <c r="A29" s="65"/>
      <c r="B29" s="23"/>
      <c r="C29" s="24"/>
      <c r="D29" s="52" t="e">
        <f>C29*(HLOOKUP("Electricity",'Energy Conv Factors'!$A$6:$M$17,'General Info'!$E$7,FALSE))/1000</f>
        <v>#VALUE!</v>
      </c>
      <c r="E29" s="51"/>
      <c r="F29" s="52" t="e">
        <f>C29*(HLOOKUP('General Info'!$C$6,'Electricity factors'!$B$3:$N$26,'General Info'!$D$7,TRUE))/1000</f>
        <v>#N/A</v>
      </c>
      <c r="G29" s="24"/>
      <c r="H29" s="52" t="e">
        <f>G29*(HLOOKUP("Natural gas",'Energy Conv Factors'!$A$6:$M$17,'General Info'!$E$7,FALSE))/1000</f>
        <v>#VALUE!</v>
      </c>
      <c r="I29" s="51"/>
      <c r="J29" s="52" t="e">
        <f>G29*(HLOOKUP('General Info'!$C$6,'Natural gas'!B$1:N$2,2,FALSE))</f>
        <v>#N/A</v>
      </c>
      <c r="K29" s="24"/>
      <c r="L29" s="52">
        <f t="shared" si="5"/>
        <v>0</v>
      </c>
      <c r="M29" s="51"/>
      <c r="N29" s="52">
        <f t="shared" si="0"/>
        <v>0</v>
      </c>
      <c r="O29" s="24"/>
      <c r="P29" s="52" t="e">
        <f>O29*(HLOOKUP("Fuel Oil",'Energy Conv Factors'!$A$6:$M$17,'General Info'!$E$7,FALSE))/1000</f>
        <v>#VALUE!</v>
      </c>
      <c r="Q29" s="51"/>
      <c r="R29" s="52">
        <f t="shared" si="1"/>
        <v>0</v>
      </c>
      <c r="S29" s="24"/>
      <c r="T29" s="52" t="e">
        <f>S29*(HLOOKUP("Diesel",'Energy Conv Factors'!$A$6:$M$17,'General Info'!$E$7,FALSE))/1000</f>
        <v>#VALUE!</v>
      </c>
      <c r="U29" s="51"/>
      <c r="V29" s="52">
        <f t="shared" si="2"/>
        <v>0</v>
      </c>
      <c r="W29" s="54"/>
      <c r="X29" s="52" t="e">
        <f t="shared" si="6"/>
        <v>#VALUE!</v>
      </c>
      <c r="Y29" s="51">
        <f t="shared" si="7"/>
        <v>0</v>
      </c>
      <c r="Z29" s="52" t="e">
        <f t="shared" si="8"/>
        <v>#N/A</v>
      </c>
      <c r="AA29" s="36" t="e">
        <f t="shared" si="9"/>
        <v>#DIV/0!</v>
      </c>
      <c r="AB29" s="37" t="e">
        <f t="shared" si="10"/>
        <v>#N/A</v>
      </c>
      <c r="AC29" s="65"/>
      <c r="AD29" s="65"/>
      <c r="AE29" s="65"/>
      <c r="AF29" s="65"/>
      <c r="AG29" s="65"/>
      <c r="AH29" s="65"/>
      <c r="AI29" s="65"/>
      <c r="AJ29" s="65"/>
      <c r="AK29" s="65"/>
      <c r="AL29" s="65"/>
      <c r="AM29" s="65"/>
    </row>
    <row r="30" spans="1:39" s="27" customFormat="1" ht="11.25">
      <c r="A30" s="65"/>
      <c r="B30" s="23"/>
      <c r="C30" s="24"/>
      <c r="D30" s="52" t="e">
        <f>C30*(HLOOKUP("Electricity",'Energy Conv Factors'!$A$6:$M$17,'General Info'!$E$7,FALSE))/1000</f>
        <v>#VALUE!</v>
      </c>
      <c r="E30" s="51"/>
      <c r="F30" s="52" t="e">
        <f>C30*(HLOOKUP('General Info'!$C$6,'Electricity factors'!$B$3:$N$26,'General Info'!$D$7,TRUE))/1000</f>
        <v>#N/A</v>
      </c>
      <c r="G30" s="24"/>
      <c r="H30" s="52" t="e">
        <f>G30*(HLOOKUP("Natural gas",'Energy Conv Factors'!$A$6:$M$17,'General Info'!$E$7,FALSE))/1000</f>
        <v>#VALUE!</v>
      </c>
      <c r="I30" s="51"/>
      <c r="J30" s="52" t="e">
        <f>G30*(HLOOKUP('General Info'!$C$6,'Natural gas'!B$1:N$2,2,FALSE))</f>
        <v>#N/A</v>
      </c>
      <c r="K30" s="24"/>
      <c r="L30" s="52">
        <f t="shared" si="5"/>
        <v>0</v>
      </c>
      <c r="M30" s="51"/>
      <c r="N30" s="52">
        <f t="shared" si="0"/>
        <v>0</v>
      </c>
      <c r="O30" s="24"/>
      <c r="P30" s="52" t="e">
        <f>O30*(HLOOKUP("Fuel Oil",'Energy Conv Factors'!$A$6:$M$17,'General Info'!$E$7,FALSE))/1000</f>
        <v>#VALUE!</v>
      </c>
      <c r="Q30" s="51"/>
      <c r="R30" s="52">
        <f t="shared" si="1"/>
        <v>0</v>
      </c>
      <c r="S30" s="24"/>
      <c r="T30" s="52" t="e">
        <f>S30*(HLOOKUP("Diesel",'Energy Conv Factors'!$A$6:$M$17,'General Info'!$E$7,FALSE))/1000</f>
        <v>#VALUE!</v>
      </c>
      <c r="U30" s="51"/>
      <c r="V30" s="52">
        <f t="shared" si="2"/>
        <v>0</v>
      </c>
      <c r="W30" s="54"/>
      <c r="X30" s="52" t="e">
        <f t="shared" si="6"/>
        <v>#VALUE!</v>
      </c>
      <c r="Y30" s="51">
        <f t="shared" si="7"/>
        <v>0</v>
      </c>
      <c r="Z30" s="52" t="e">
        <f t="shared" si="8"/>
        <v>#N/A</v>
      </c>
      <c r="AA30" s="36" t="e">
        <f t="shared" si="9"/>
        <v>#DIV/0!</v>
      </c>
      <c r="AB30" s="37" t="e">
        <f t="shared" si="10"/>
        <v>#N/A</v>
      </c>
      <c r="AC30" s="65"/>
      <c r="AD30" s="65"/>
      <c r="AE30" s="65"/>
      <c r="AF30" s="65"/>
      <c r="AG30" s="65"/>
      <c r="AH30" s="65"/>
      <c r="AI30" s="65"/>
      <c r="AJ30" s="65"/>
      <c r="AK30" s="65"/>
      <c r="AL30" s="65"/>
      <c r="AM30" s="65"/>
    </row>
    <row r="31" spans="1:39" s="27" customFormat="1" ht="11.25">
      <c r="A31" s="65"/>
      <c r="B31" s="23"/>
      <c r="C31" s="24"/>
      <c r="D31" s="52" t="e">
        <f>C31*(HLOOKUP("Electricity",'Energy Conv Factors'!$A$6:$M$17,'General Info'!$E$7,FALSE))/1000</f>
        <v>#VALUE!</v>
      </c>
      <c r="E31" s="51"/>
      <c r="F31" s="52" t="e">
        <f>C31*(HLOOKUP('General Info'!$C$6,'Electricity factors'!$B$3:$N$26,'General Info'!$D$7,TRUE))/1000</f>
        <v>#N/A</v>
      </c>
      <c r="G31" s="24"/>
      <c r="H31" s="52" t="e">
        <f>G31*(HLOOKUP("Natural gas",'Energy Conv Factors'!$A$6:$M$17,'General Info'!$E$7,FALSE))/1000</f>
        <v>#VALUE!</v>
      </c>
      <c r="I31" s="51"/>
      <c r="J31" s="52" t="e">
        <f>G31*(HLOOKUP('General Info'!$C$6,'Natural gas'!B$1:N$2,2,FALSE))</f>
        <v>#N/A</v>
      </c>
      <c r="K31" s="24"/>
      <c r="L31" s="52">
        <f t="shared" si="5"/>
        <v>0</v>
      </c>
      <c r="M31" s="51"/>
      <c r="N31" s="52">
        <f t="shared" si="0"/>
        <v>0</v>
      </c>
      <c r="O31" s="24"/>
      <c r="P31" s="52" t="e">
        <f>O31*(HLOOKUP("Fuel Oil",'Energy Conv Factors'!$A$6:$M$17,'General Info'!$E$7,FALSE))/1000</f>
        <v>#VALUE!</v>
      </c>
      <c r="Q31" s="51"/>
      <c r="R31" s="52">
        <f t="shared" si="1"/>
        <v>0</v>
      </c>
      <c r="S31" s="24"/>
      <c r="T31" s="52" t="e">
        <f>S31*(HLOOKUP("Diesel",'Energy Conv Factors'!$A$6:$M$17,'General Info'!$E$7,FALSE))/1000</f>
        <v>#VALUE!</v>
      </c>
      <c r="U31" s="51"/>
      <c r="V31" s="52">
        <f t="shared" si="2"/>
        <v>0</v>
      </c>
      <c r="W31" s="54"/>
      <c r="X31" s="52" t="e">
        <f t="shared" si="6"/>
        <v>#VALUE!</v>
      </c>
      <c r="Y31" s="51">
        <f t="shared" si="7"/>
        <v>0</v>
      </c>
      <c r="Z31" s="52" t="e">
        <f t="shared" si="8"/>
        <v>#N/A</v>
      </c>
      <c r="AA31" s="36" t="e">
        <f t="shared" si="9"/>
        <v>#DIV/0!</v>
      </c>
      <c r="AB31" s="37" t="e">
        <f t="shared" si="10"/>
        <v>#N/A</v>
      </c>
      <c r="AC31" s="65"/>
      <c r="AD31" s="65"/>
      <c r="AE31" s="65"/>
      <c r="AF31" s="65"/>
      <c r="AG31" s="65"/>
      <c r="AH31" s="65"/>
      <c r="AI31" s="65"/>
      <c r="AJ31" s="65"/>
      <c r="AK31" s="65"/>
      <c r="AL31" s="65"/>
      <c r="AM31" s="65"/>
    </row>
    <row r="32" spans="1:39" s="27" customFormat="1" ht="11.25">
      <c r="A32" s="65"/>
      <c r="B32" s="23"/>
      <c r="C32" s="24"/>
      <c r="D32" s="52" t="e">
        <f>C32*(HLOOKUP("Electricity",'Energy Conv Factors'!$A$6:$M$17,'General Info'!$E$7,FALSE))/1000</f>
        <v>#VALUE!</v>
      </c>
      <c r="E32" s="51"/>
      <c r="F32" s="52" t="e">
        <f>C32*(HLOOKUP('General Info'!$C$6,'Electricity factors'!$B$3:$N$26,'General Info'!$D$7,TRUE))/1000</f>
        <v>#N/A</v>
      </c>
      <c r="G32" s="24"/>
      <c r="H32" s="52" t="e">
        <f>G32*(HLOOKUP("Natural gas",'Energy Conv Factors'!$A$6:$M$17,'General Info'!$E$7,FALSE))/1000</f>
        <v>#VALUE!</v>
      </c>
      <c r="I32" s="51"/>
      <c r="J32" s="52" t="e">
        <f>G32*(HLOOKUP('General Info'!$C$6,'Natural gas'!B$1:N$2,2,FALSE))</f>
        <v>#N/A</v>
      </c>
      <c r="K32" s="24"/>
      <c r="L32" s="52">
        <f t="shared" si="5"/>
        <v>0</v>
      </c>
      <c r="M32" s="51"/>
      <c r="N32" s="52">
        <f t="shared" si="0"/>
        <v>0</v>
      </c>
      <c r="O32" s="24"/>
      <c r="P32" s="52" t="e">
        <f>O32*(HLOOKUP("Fuel Oil",'Energy Conv Factors'!$A$6:$M$17,'General Info'!$E$7,FALSE))/1000</f>
        <v>#VALUE!</v>
      </c>
      <c r="Q32" s="51"/>
      <c r="R32" s="52">
        <f t="shared" si="1"/>
        <v>0</v>
      </c>
      <c r="S32" s="24"/>
      <c r="T32" s="52" t="e">
        <f>S32*(HLOOKUP("Diesel",'Energy Conv Factors'!$A$6:$M$17,'General Info'!$E$7,FALSE))/1000</f>
        <v>#VALUE!</v>
      </c>
      <c r="U32" s="51"/>
      <c r="V32" s="52">
        <f>(S32*stationarydieselco2)</f>
        <v>0</v>
      </c>
      <c r="W32" s="54"/>
      <c r="X32" s="52" t="e">
        <f t="shared" si="6"/>
        <v>#VALUE!</v>
      </c>
      <c r="Y32" s="51">
        <f t="shared" si="7"/>
        <v>0</v>
      </c>
      <c r="Z32" s="52" t="e">
        <f t="shared" si="8"/>
        <v>#N/A</v>
      </c>
      <c r="AA32" s="36" t="e">
        <f t="shared" si="9"/>
        <v>#DIV/0!</v>
      </c>
      <c r="AB32" s="37" t="e">
        <f t="shared" si="10"/>
        <v>#N/A</v>
      </c>
      <c r="AC32" s="65"/>
      <c r="AD32" s="65"/>
      <c r="AE32" s="65"/>
      <c r="AF32" s="65"/>
      <c r="AG32" s="65"/>
      <c r="AH32" s="65"/>
      <c r="AI32" s="65"/>
      <c r="AJ32" s="65"/>
      <c r="AK32" s="65"/>
      <c r="AL32" s="65"/>
      <c r="AM32" s="65"/>
    </row>
    <row r="33" spans="1:39" s="27" customFormat="1" ht="11.25">
      <c r="A33" s="65"/>
      <c r="B33" s="23"/>
      <c r="C33" s="24"/>
      <c r="D33" s="52" t="e">
        <f>C33*(HLOOKUP("Electricity",'Energy Conv Factors'!$A$6:$M$17,'General Info'!$E$7,FALSE))/1000</f>
        <v>#VALUE!</v>
      </c>
      <c r="E33" s="51"/>
      <c r="F33" s="52" t="e">
        <f>C33*(HLOOKUP('General Info'!$C$6,'Electricity factors'!$B$3:$N$26,'General Info'!$D$7,TRUE))/1000</f>
        <v>#N/A</v>
      </c>
      <c r="G33" s="24"/>
      <c r="H33" s="52" t="e">
        <f>G33*(HLOOKUP("Natural gas",'Energy Conv Factors'!$A$6:$M$17,'General Info'!$E$7,FALSE))/1000</f>
        <v>#VALUE!</v>
      </c>
      <c r="I33" s="51"/>
      <c r="J33" s="52" t="e">
        <f>G33*(HLOOKUP('General Info'!$C$6,'Natural gas'!B$1:N$2,2,FALSE))</f>
        <v>#N/A</v>
      </c>
      <c r="K33" s="24"/>
      <c r="L33" s="52">
        <f t="shared" si="5"/>
        <v>0</v>
      </c>
      <c r="M33" s="51"/>
      <c r="N33" s="52">
        <f t="shared" si="0"/>
        <v>0</v>
      </c>
      <c r="O33" s="24"/>
      <c r="P33" s="52" t="e">
        <f>O33*(HLOOKUP("Fuel Oil",'Energy Conv Factors'!$A$6:$M$17,'General Info'!$E$7,FALSE))/1000</f>
        <v>#VALUE!</v>
      </c>
      <c r="Q33" s="51"/>
      <c r="R33" s="52">
        <f t="shared" si="1"/>
        <v>0</v>
      </c>
      <c r="S33" s="24"/>
      <c r="T33" s="52" t="e">
        <f>S33*(HLOOKUP("Diesel",'Energy Conv Factors'!$A$6:$M$17,'General Info'!$E$7,FALSE))/1000</f>
        <v>#VALUE!</v>
      </c>
      <c r="U33" s="51"/>
      <c r="V33" s="52">
        <f t="shared" si="2"/>
        <v>0</v>
      </c>
      <c r="W33" s="54"/>
      <c r="X33" s="52" t="e">
        <f t="shared" si="6"/>
        <v>#VALUE!</v>
      </c>
      <c r="Y33" s="51">
        <f t="shared" si="7"/>
        <v>0</v>
      </c>
      <c r="Z33" s="52" t="e">
        <f t="shared" si="8"/>
        <v>#N/A</v>
      </c>
      <c r="AA33" s="36" t="e">
        <f t="shared" si="9"/>
        <v>#DIV/0!</v>
      </c>
      <c r="AB33" s="37" t="e">
        <f t="shared" si="10"/>
        <v>#N/A</v>
      </c>
      <c r="AC33" s="65"/>
      <c r="AD33" s="65"/>
      <c r="AE33" s="65"/>
      <c r="AF33" s="65"/>
      <c r="AG33" s="65"/>
      <c r="AH33" s="65"/>
      <c r="AI33" s="65"/>
      <c r="AJ33" s="65"/>
      <c r="AK33" s="65"/>
      <c r="AL33" s="65"/>
      <c r="AM33" s="65"/>
    </row>
    <row r="34" spans="1:39" s="27" customFormat="1" ht="11.25">
      <c r="A34" s="65"/>
      <c r="B34" s="23"/>
      <c r="C34" s="24"/>
      <c r="D34" s="52" t="e">
        <f>C34*(HLOOKUP("Electricity",'Energy Conv Factors'!$A$6:$M$17,'General Info'!$E$7,FALSE))/1000</f>
        <v>#VALUE!</v>
      </c>
      <c r="E34" s="51"/>
      <c r="F34" s="52" t="e">
        <f>C34*(HLOOKUP('General Info'!$C$6,'Electricity factors'!$B$3:$N$26,'General Info'!$D$7,TRUE))/1000</f>
        <v>#N/A</v>
      </c>
      <c r="G34" s="24"/>
      <c r="H34" s="52" t="e">
        <f>G34*(HLOOKUP("Natural gas",'Energy Conv Factors'!$A$6:$M$17,'General Info'!$E$7,FALSE))/1000</f>
        <v>#VALUE!</v>
      </c>
      <c r="I34" s="51"/>
      <c r="J34" s="52" t="e">
        <f>G34*(HLOOKUP('General Info'!$C$6,'Natural gas'!B$1:N$2,2,FALSE))</f>
        <v>#N/A</v>
      </c>
      <c r="K34" s="24"/>
      <c r="L34" s="52">
        <f t="shared" si="5"/>
        <v>0</v>
      </c>
      <c r="M34" s="51"/>
      <c r="N34" s="52">
        <f t="shared" si="0"/>
        <v>0</v>
      </c>
      <c r="O34" s="24"/>
      <c r="P34" s="52" t="e">
        <f>O34*(HLOOKUP("Fuel Oil",'Energy Conv Factors'!$A$6:$M$17,'General Info'!$E$7,FALSE))/1000</f>
        <v>#VALUE!</v>
      </c>
      <c r="Q34" s="51"/>
      <c r="R34" s="52">
        <f t="shared" si="1"/>
        <v>0</v>
      </c>
      <c r="S34" s="24"/>
      <c r="T34" s="52" t="e">
        <f>S34*(HLOOKUP("Diesel",'Energy Conv Factors'!$A$6:$M$17,'General Info'!$E$7,FALSE))/1000</f>
        <v>#VALUE!</v>
      </c>
      <c r="U34" s="51"/>
      <c r="V34" s="52">
        <f t="shared" si="2"/>
        <v>0</v>
      </c>
      <c r="W34" s="54"/>
      <c r="X34" s="52" t="e">
        <f t="shared" si="6"/>
        <v>#VALUE!</v>
      </c>
      <c r="Y34" s="51">
        <f t="shared" si="7"/>
        <v>0</v>
      </c>
      <c r="Z34" s="52" t="e">
        <f t="shared" si="8"/>
        <v>#N/A</v>
      </c>
      <c r="AA34" s="36" t="e">
        <f t="shared" si="9"/>
        <v>#DIV/0!</v>
      </c>
      <c r="AB34" s="37" t="e">
        <f t="shared" si="10"/>
        <v>#N/A</v>
      </c>
      <c r="AC34" s="65"/>
      <c r="AD34" s="65"/>
      <c r="AE34" s="65"/>
      <c r="AF34" s="65"/>
      <c r="AG34" s="65"/>
      <c r="AH34" s="65"/>
      <c r="AI34" s="65"/>
      <c r="AJ34" s="65"/>
      <c r="AK34" s="65"/>
      <c r="AL34" s="65"/>
      <c r="AM34" s="65"/>
    </row>
    <row r="35" spans="1:39" s="27" customFormat="1" ht="11.25">
      <c r="A35" s="65"/>
      <c r="B35" s="23"/>
      <c r="C35" s="24"/>
      <c r="D35" s="52" t="e">
        <f>C35*(HLOOKUP("Electricity",'Energy Conv Factors'!$A$6:$M$17,'General Info'!$E$7,FALSE))/1000</f>
        <v>#VALUE!</v>
      </c>
      <c r="E35" s="51"/>
      <c r="F35" s="52" t="e">
        <f>C35*(HLOOKUP('General Info'!$C$6,'Electricity factors'!$B$3:$N$26,'General Info'!$D$7,TRUE))/1000</f>
        <v>#N/A</v>
      </c>
      <c r="G35" s="24"/>
      <c r="H35" s="52" t="e">
        <f>G35*(HLOOKUP("Natural gas",'Energy Conv Factors'!$A$6:$M$17,'General Info'!$E$7,FALSE))/1000</f>
        <v>#VALUE!</v>
      </c>
      <c r="I35" s="51"/>
      <c r="J35" s="52" t="e">
        <f>G35*(HLOOKUP('General Info'!$C$6,'Natural gas'!B$1:N$2,2,FALSE))</f>
        <v>#N/A</v>
      </c>
      <c r="K35" s="24"/>
      <c r="L35" s="52">
        <f t="shared" si="5"/>
        <v>0</v>
      </c>
      <c r="M35" s="51"/>
      <c r="N35" s="52">
        <f t="shared" si="0"/>
        <v>0</v>
      </c>
      <c r="O35" s="24"/>
      <c r="P35" s="52" t="e">
        <f>O35*(HLOOKUP("Fuel Oil",'Energy Conv Factors'!$A$6:$M$17,'General Info'!$E$7,FALSE))/1000</f>
        <v>#VALUE!</v>
      </c>
      <c r="Q35" s="51"/>
      <c r="R35" s="52">
        <f t="shared" si="1"/>
        <v>0</v>
      </c>
      <c r="S35" s="24"/>
      <c r="T35" s="52" t="e">
        <f>S35*(HLOOKUP("Diesel",'Energy Conv Factors'!$A$6:$M$17,'General Info'!$E$7,FALSE))/1000</f>
        <v>#VALUE!</v>
      </c>
      <c r="U35" s="51"/>
      <c r="V35" s="52">
        <f t="shared" si="2"/>
        <v>0</v>
      </c>
      <c r="W35" s="54"/>
      <c r="X35" s="52" t="e">
        <f t="shared" si="6"/>
        <v>#VALUE!</v>
      </c>
      <c r="Y35" s="51">
        <f t="shared" si="7"/>
        <v>0</v>
      </c>
      <c r="Z35" s="52" t="e">
        <f t="shared" si="8"/>
        <v>#N/A</v>
      </c>
      <c r="AA35" s="36" t="e">
        <f aca="true" t="shared" si="11" ref="AA35:AA60">Y35/(W35*1000)</f>
        <v>#DIV/0!</v>
      </c>
      <c r="AB35" s="37" t="e">
        <f aca="true" t="shared" si="12" ref="AB35:AB60">Z35/(W35*1000)</f>
        <v>#N/A</v>
      </c>
      <c r="AC35" s="65"/>
      <c r="AD35" s="65"/>
      <c r="AE35" s="65"/>
      <c r="AF35" s="65"/>
      <c r="AG35" s="65"/>
      <c r="AH35" s="65"/>
      <c r="AI35" s="65"/>
      <c r="AJ35" s="65"/>
      <c r="AK35" s="65"/>
      <c r="AL35" s="65"/>
      <c r="AM35" s="65"/>
    </row>
    <row r="36" spans="1:39" s="27" customFormat="1" ht="11.25">
      <c r="A36" s="65"/>
      <c r="B36" s="23"/>
      <c r="C36" s="24"/>
      <c r="D36" s="52" t="e">
        <f>C36*(HLOOKUP("Electricity",'Energy Conv Factors'!$A$6:$M$17,'General Info'!$E$7,FALSE))/1000</f>
        <v>#VALUE!</v>
      </c>
      <c r="E36" s="51"/>
      <c r="F36" s="52" t="e">
        <f>C36*(HLOOKUP('General Info'!$C$6,'Electricity factors'!$B$3:$N$26,'General Info'!$D$7,TRUE))/1000</f>
        <v>#N/A</v>
      </c>
      <c r="G36" s="24"/>
      <c r="H36" s="52" t="e">
        <f>G36*(HLOOKUP("Natural gas",'Energy Conv Factors'!$A$6:$M$17,'General Info'!$E$7,FALSE))/1000</f>
        <v>#VALUE!</v>
      </c>
      <c r="I36" s="51"/>
      <c r="J36" s="52" t="e">
        <f>G36*(HLOOKUP('General Info'!$C$6,'Natural gas'!B$1:N$2,2,FALSE))</f>
        <v>#N/A</v>
      </c>
      <c r="K36" s="24"/>
      <c r="L36" s="52">
        <f t="shared" si="5"/>
        <v>0</v>
      </c>
      <c r="M36" s="51"/>
      <c r="N36" s="52">
        <f t="shared" si="0"/>
        <v>0</v>
      </c>
      <c r="O36" s="24"/>
      <c r="P36" s="52" t="e">
        <f>O36*(HLOOKUP("Fuel Oil",'Energy Conv Factors'!$A$6:$M$17,'General Info'!$E$7,FALSE))/1000</f>
        <v>#VALUE!</v>
      </c>
      <c r="Q36" s="51"/>
      <c r="R36" s="52">
        <f t="shared" si="1"/>
        <v>0</v>
      </c>
      <c r="S36" s="24"/>
      <c r="T36" s="52" t="e">
        <f>S36*(HLOOKUP("Diesel",'Energy Conv Factors'!$A$6:$M$17,'General Info'!$E$7,FALSE))/1000</f>
        <v>#VALUE!</v>
      </c>
      <c r="U36" s="51"/>
      <c r="V36" s="52">
        <f t="shared" si="2"/>
        <v>0</v>
      </c>
      <c r="W36" s="54"/>
      <c r="X36" s="52" t="e">
        <f t="shared" si="6"/>
        <v>#VALUE!</v>
      </c>
      <c r="Y36" s="51">
        <f t="shared" si="7"/>
        <v>0</v>
      </c>
      <c r="Z36" s="52" t="e">
        <f t="shared" si="8"/>
        <v>#N/A</v>
      </c>
      <c r="AA36" s="36" t="e">
        <f t="shared" si="11"/>
        <v>#DIV/0!</v>
      </c>
      <c r="AB36" s="37" t="e">
        <f t="shared" si="12"/>
        <v>#N/A</v>
      </c>
      <c r="AC36" s="65"/>
      <c r="AD36" s="65"/>
      <c r="AE36" s="65"/>
      <c r="AF36" s="65"/>
      <c r="AG36" s="65"/>
      <c r="AH36" s="65"/>
      <c r="AI36" s="65"/>
      <c r="AJ36" s="65"/>
      <c r="AK36" s="65"/>
      <c r="AL36" s="65"/>
      <c r="AM36" s="65"/>
    </row>
    <row r="37" spans="1:39" s="27" customFormat="1" ht="11.25">
      <c r="A37" s="65"/>
      <c r="B37" s="23"/>
      <c r="C37" s="24"/>
      <c r="D37" s="52" t="e">
        <f>C37*(HLOOKUP("Electricity",'Energy Conv Factors'!$A$6:$M$17,'General Info'!$E$7,FALSE))/1000</f>
        <v>#VALUE!</v>
      </c>
      <c r="E37" s="51"/>
      <c r="F37" s="52" t="e">
        <f>C37*(HLOOKUP('General Info'!$C$6,'Electricity factors'!$B$3:$N$26,'General Info'!$D$7,TRUE))/1000</f>
        <v>#N/A</v>
      </c>
      <c r="G37" s="24"/>
      <c r="H37" s="52" t="e">
        <f>G37*(HLOOKUP("Natural gas",'Energy Conv Factors'!$A$6:$M$17,'General Info'!$E$7,FALSE))/1000</f>
        <v>#VALUE!</v>
      </c>
      <c r="I37" s="51"/>
      <c r="J37" s="52" t="e">
        <f>G37*(HLOOKUP('General Info'!$C$6,'Natural gas'!B$1:N$2,2,FALSE))</f>
        <v>#N/A</v>
      </c>
      <c r="K37" s="24"/>
      <c r="L37" s="52">
        <f t="shared" si="5"/>
        <v>0</v>
      </c>
      <c r="M37" s="51"/>
      <c r="N37" s="52">
        <f t="shared" si="0"/>
        <v>0</v>
      </c>
      <c r="O37" s="24"/>
      <c r="P37" s="52" t="e">
        <f>O37*(HLOOKUP("Fuel Oil",'Energy Conv Factors'!$A$6:$M$17,'General Info'!$E$7,FALSE))/1000</f>
        <v>#VALUE!</v>
      </c>
      <c r="Q37" s="51"/>
      <c r="R37" s="52">
        <f t="shared" si="1"/>
        <v>0</v>
      </c>
      <c r="S37" s="24"/>
      <c r="T37" s="52" t="e">
        <f>S37*(HLOOKUP("Diesel",'Energy Conv Factors'!$A$6:$M$17,'General Info'!$E$7,FALSE))/1000</f>
        <v>#VALUE!</v>
      </c>
      <c r="U37" s="51"/>
      <c r="V37" s="52">
        <f t="shared" si="2"/>
        <v>0</v>
      </c>
      <c r="W37" s="54"/>
      <c r="X37" s="52" t="e">
        <f t="shared" si="6"/>
        <v>#VALUE!</v>
      </c>
      <c r="Y37" s="51">
        <f t="shared" si="7"/>
        <v>0</v>
      </c>
      <c r="Z37" s="52" t="e">
        <f t="shared" si="8"/>
        <v>#N/A</v>
      </c>
      <c r="AA37" s="36" t="e">
        <f t="shared" si="11"/>
        <v>#DIV/0!</v>
      </c>
      <c r="AB37" s="37" t="e">
        <f t="shared" si="12"/>
        <v>#N/A</v>
      </c>
      <c r="AC37" s="65"/>
      <c r="AD37" s="65"/>
      <c r="AE37" s="65"/>
      <c r="AF37" s="65"/>
      <c r="AG37" s="65"/>
      <c r="AH37" s="65"/>
      <c r="AI37" s="65"/>
      <c r="AJ37" s="65"/>
      <c r="AK37" s="65"/>
      <c r="AL37" s="65"/>
      <c r="AM37" s="65"/>
    </row>
    <row r="38" spans="1:39" s="27" customFormat="1" ht="11.25">
      <c r="A38" s="65"/>
      <c r="B38" s="23"/>
      <c r="C38" s="24"/>
      <c r="D38" s="52" t="e">
        <f>C38*(HLOOKUP("Electricity",'Energy Conv Factors'!$A$6:$M$17,'General Info'!$E$7,FALSE))/1000</f>
        <v>#VALUE!</v>
      </c>
      <c r="E38" s="51"/>
      <c r="F38" s="52" t="e">
        <f>C38*(HLOOKUP('General Info'!$C$6,'Electricity factors'!$B$3:$N$26,'General Info'!$D$7,TRUE))/1000</f>
        <v>#N/A</v>
      </c>
      <c r="G38" s="24"/>
      <c r="H38" s="52" t="e">
        <f>G38*(HLOOKUP("Natural gas",'Energy Conv Factors'!$A$6:$M$17,'General Info'!$E$7,FALSE))/1000</f>
        <v>#VALUE!</v>
      </c>
      <c r="I38" s="51"/>
      <c r="J38" s="52" t="e">
        <f>G38*(HLOOKUP('General Info'!$C$6,'Natural gas'!B$1:N$2,2,FALSE))</f>
        <v>#N/A</v>
      </c>
      <c r="K38" s="24"/>
      <c r="L38" s="52">
        <f t="shared" si="5"/>
        <v>0</v>
      </c>
      <c r="M38" s="51"/>
      <c r="N38" s="52">
        <f t="shared" si="0"/>
        <v>0</v>
      </c>
      <c r="O38" s="24"/>
      <c r="P38" s="52" t="e">
        <f>O38*(HLOOKUP("Fuel Oil",'Energy Conv Factors'!$A$6:$M$17,'General Info'!$E$7,FALSE))/1000</f>
        <v>#VALUE!</v>
      </c>
      <c r="Q38" s="51"/>
      <c r="R38" s="52">
        <f t="shared" si="1"/>
        <v>0</v>
      </c>
      <c r="S38" s="24"/>
      <c r="T38" s="52" t="e">
        <f>S38*(HLOOKUP("Diesel",'Energy Conv Factors'!$A$6:$M$17,'General Info'!$E$7,FALSE))/1000</f>
        <v>#VALUE!</v>
      </c>
      <c r="U38" s="51"/>
      <c r="V38" s="52">
        <f t="shared" si="2"/>
        <v>0</v>
      </c>
      <c r="W38" s="54"/>
      <c r="X38" s="52" t="e">
        <f t="shared" si="6"/>
        <v>#VALUE!</v>
      </c>
      <c r="Y38" s="51">
        <f t="shared" si="7"/>
        <v>0</v>
      </c>
      <c r="Z38" s="52" t="e">
        <f t="shared" si="8"/>
        <v>#N/A</v>
      </c>
      <c r="AA38" s="36" t="e">
        <f t="shared" si="11"/>
        <v>#DIV/0!</v>
      </c>
      <c r="AB38" s="37" t="e">
        <f t="shared" si="12"/>
        <v>#N/A</v>
      </c>
      <c r="AC38" s="65"/>
      <c r="AD38" s="65"/>
      <c r="AE38" s="65"/>
      <c r="AF38" s="65"/>
      <c r="AG38" s="65"/>
      <c r="AH38" s="65"/>
      <c r="AI38" s="65"/>
      <c r="AJ38" s="65"/>
      <c r="AK38" s="65"/>
      <c r="AL38" s="65"/>
      <c r="AM38" s="65"/>
    </row>
    <row r="39" spans="1:39" s="27" customFormat="1" ht="11.25">
      <c r="A39" s="65"/>
      <c r="B39" s="23"/>
      <c r="C39" s="24"/>
      <c r="D39" s="52" t="e">
        <f>C39*(HLOOKUP("Electricity",'Energy Conv Factors'!$A$6:$M$17,'General Info'!$E$7,FALSE))/1000</f>
        <v>#VALUE!</v>
      </c>
      <c r="E39" s="51"/>
      <c r="F39" s="52" t="e">
        <f>C39*(HLOOKUP('General Info'!$C$6,'Electricity factors'!$B$3:$N$26,'General Info'!$D$7,TRUE))/1000</f>
        <v>#N/A</v>
      </c>
      <c r="G39" s="24"/>
      <c r="H39" s="52" t="e">
        <f>G39*(HLOOKUP("Natural gas",'Energy Conv Factors'!$A$6:$M$17,'General Info'!$E$7,FALSE))/1000</f>
        <v>#VALUE!</v>
      </c>
      <c r="I39" s="51"/>
      <c r="J39" s="52" t="e">
        <f>G39*(HLOOKUP('General Info'!$C$6,'Natural gas'!B$1:N$2,2,FALSE))</f>
        <v>#N/A</v>
      </c>
      <c r="K39" s="24"/>
      <c r="L39" s="52">
        <f t="shared" si="5"/>
        <v>0</v>
      </c>
      <c r="M39" s="51"/>
      <c r="N39" s="52">
        <f t="shared" si="0"/>
        <v>0</v>
      </c>
      <c r="O39" s="24"/>
      <c r="P39" s="52" t="e">
        <f>O39*(HLOOKUP("Fuel Oil",'Energy Conv Factors'!$A$6:$M$17,'General Info'!$E$7,FALSE))/1000</f>
        <v>#VALUE!</v>
      </c>
      <c r="Q39" s="51"/>
      <c r="R39" s="52">
        <f t="shared" si="1"/>
        <v>0</v>
      </c>
      <c r="S39" s="24"/>
      <c r="T39" s="52" t="e">
        <f>S39*(HLOOKUP("Diesel",'Energy Conv Factors'!$A$6:$M$17,'General Info'!$E$7,FALSE))/1000</f>
        <v>#VALUE!</v>
      </c>
      <c r="U39" s="51"/>
      <c r="V39" s="52">
        <f t="shared" si="2"/>
        <v>0</v>
      </c>
      <c r="W39" s="54"/>
      <c r="X39" s="52" t="e">
        <f t="shared" si="6"/>
        <v>#VALUE!</v>
      </c>
      <c r="Y39" s="51">
        <f t="shared" si="7"/>
        <v>0</v>
      </c>
      <c r="Z39" s="52" t="e">
        <f t="shared" si="8"/>
        <v>#N/A</v>
      </c>
      <c r="AA39" s="36" t="e">
        <f t="shared" si="11"/>
        <v>#DIV/0!</v>
      </c>
      <c r="AB39" s="37" t="e">
        <f t="shared" si="12"/>
        <v>#N/A</v>
      </c>
      <c r="AC39" s="65"/>
      <c r="AD39" s="65"/>
      <c r="AE39" s="65"/>
      <c r="AF39" s="65"/>
      <c r="AG39" s="65"/>
      <c r="AH39" s="65"/>
      <c r="AI39" s="65"/>
      <c r="AJ39" s="65"/>
      <c r="AK39" s="65"/>
      <c r="AL39" s="65"/>
      <c r="AM39" s="65"/>
    </row>
    <row r="40" spans="1:39" s="27" customFormat="1" ht="11.25">
      <c r="A40" s="65"/>
      <c r="B40" s="23"/>
      <c r="C40" s="24"/>
      <c r="D40" s="52" t="e">
        <f>C40*(HLOOKUP("Electricity",'Energy Conv Factors'!$A$6:$M$17,'General Info'!$E$7,FALSE))/1000</f>
        <v>#VALUE!</v>
      </c>
      <c r="E40" s="51"/>
      <c r="F40" s="52" t="e">
        <f>C40*(HLOOKUP('General Info'!$C$6,'Electricity factors'!$B$3:$N$26,'General Info'!$D$7,TRUE))/1000</f>
        <v>#N/A</v>
      </c>
      <c r="G40" s="24"/>
      <c r="H40" s="52" t="e">
        <f>G40*(HLOOKUP("Natural gas",'Energy Conv Factors'!$A$6:$M$17,'General Info'!$E$7,FALSE))/1000</f>
        <v>#VALUE!</v>
      </c>
      <c r="I40" s="51"/>
      <c r="J40" s="52" t="e">
        <f>G40*(HLOOKUP('General Info'!$C$6,'Natural gas'!B$1:N$2,2,FALSE))</f>
        <v>#N/A</v>
      </c>
      <c r="K40" s="24"/>
      <c r="L40" s="52">
        <f t="shared" si="5"/>
        <v>0</v>
      </c>
      <c r="M40" s="51"/>
      <c r="N40" s="52">
        <f t="shared" si="0"/>
        <v>0</v>
      </c>
      <c r="O40" s="24"/>
      <c r="P40" s="52" t="e">
        <f>O40*(HLOOKUP("Fuel Oil",'Energy Conv Factors'!$A$6:$M$17,'General Info'!$E$7,FALSE))/1000</f>
        <v>#VALUE!</v>
      </c>
      <c r="Q40" s="51"/>
      <c r="R40" s="52">
        <f t="shared" si="1"/>
        <v>0</v>
      </c>
      <c r="S40" s="24"/>
      <c r="T40" s="52" t="e">
        <f>S40*(HLOOKUP("Diesel",'Energy Conv Factors'!$A$6:$M$17,'General Info'!$E$7,FALSE))/1000</f>
        <v>#VALUE!</v>
      </c>
      <c r="U40" s="51"/>
      <c r="V40" s="52">
        <f t="shared" si="2"/>
        <v>0</v>
      </c>
      <c r="W40" s="54"/>
      <c r="X40" s="52" t="e">
        <f t="shared" si="6"/>
        <v>#VALUE!</v>
      </c>
      <c r="Y40" s="51">
        <f t="shared" si="7"/>
        <v>0</v>
      </c>
      <c r="Z40" s="52" t="e">
        <f t="shared" si="8"/>
        <v>#N/A</v>
      </c>
      <c r="AA40" s="36" t="e">
        <f t="shared" si="11"/>
        <v>#DIV/0!</v>
      </c>
      <c r="AB40" s="37" t="e">
        <f t="shared" si="12"/>
        <v>#N/A</v>
      </c>
      <c r="AC40" s="65"/>
      <c r="AD40" s="65"/>
      <c r="AE40" s="65"/>
      <c r="AF40" s="65"/>
      <c r="AG40" s="65"/>
      <c r="AH40" s="65"/>
      <c r="AI40" s="65"/>
      <c r="AJ40" s="65"/>
      <c r="AK40" s="65"/>
      <c r="AL40" s="65"/>
      <c r="AM40" s="65"/>
    </row>
    <row r="41" spans="1:39" s="27" customFormat="1" ht="11.25">
      <c r="A41" s="65"/>
      <c r="B41" s="23"/>
      <c r="C41" s="24"/>
      <c r="D41" s="52" t="e">
        <f>C41*(HLOOKUP("Electricity",'Energy Conv Factors'!$A$6:$M$17,'General Info'!$E$7,FALSE))/1000</f>
        <v>#VALUE!</v>
      </c>
      <c r="E41" s="51"/>
      <c r="F41" s="52" t="e">
        <f>C41*(HLOOKUP('General Info'!$C$6,'Electricity factors'!$B$3:$N$26,'General Info'!$D$7,TRUE))/1000</f>
        <v>#N/A</v>
      </c>
      <c r="G41" s="24"/>
      <c r="H41" s="52" t="e">
        <f>G41*(HLOOKUP("Natural gas",'Energy Conv Factors'!$A$6:$M$17,'General Info'!$E$7,FALSE))/1000</f>
        <v>#VALUE!</v>
      </c>
      <c r="I41" s="51"/>
      <c r="J41" s="52" t="e">
        <f>G41*(HLOOKUP('General Info'!$C$6,'Natural gas'!B$1:N$2,2,FALSE))</f>
        <v>#N/A</v>
      </c>
      <c r="K41" s="24"/>
      <c r="L41" s="52">
        <f t="shared" si="5"/>
        <v>0</v>
      </c>
      <c r="M41" s="51"/>
      <c r="N41" s="52">
        <f t="shared" si="0"/>
        <v>0</v>
      </c>
      <c r="O41" s="24"/>
      <c r="P41" s="52" t="e">
        <f>O41*(HLOOKUP("Fuel Oil",'Energy Conv Factors'!$A$6:$M$17,'General Info'!$E$7,FALSE))/1000</f>
        <v>#VALUE!</v>
      </c>
      <c r="Q41" s="51"/>
      <c r="R41" s="52">
        <f t="shared" si="1"/>
        <v>0</v>
      </c>
      <c r="S41" s="24"/>
      <c r="T41" s="52" t="e">
        <f>S41*(HLOOKUP("Diesel",'Energy Conv Factors'!$A$6:$M$17,'General Info'!$E$7,FALSE))/1000</f>
        <v>#VALUE!</v>
      </c>
      <c r="U41" s="51"/>
      <c r="V41" s="52">
        <f t="shared" si="2"/>
        <v>0</v>
      </c>
      <c r="W41" s="54"/>
      <c r="X41" s="52" t="e">
        <f t="shared" si="6"/>
        <v>#VALUE!</v>
      </c>
      <c r="Y41" s="51">
        <f t="shared" si="7"/>
        <v>0</v>
      </c>
      <c r="Z41" s="52" t="e">
        <f t="shared" si="8"/>
        <v>#N/A</v>
      </c>
      <c r="AA41" s="36" t="e">
        <f t="shared" si="11"/>
        <v>#DIV/0!</v>
      </c>
      <c r="AB41" s="37" t="e">
        <f t="shared" si="12"/>
        <v>#N/A</v>
      </c>
      <c r="AC41" s="65"/>
      <c r="AD41" s="65"/>
      <c r="AE41" s="65"/>
      <c r="AF41" s="65"/>
      <c r="AG41" s="65"/>
      <c r="AH41" s="65"/>
      <c r="AI41" s="65"/>
      <c r="AJ41" s="65"/>
      <c r="AK41" s="65"/>
      <c r="AL41" s="65"/>
      <c r="AM41" s="65"/>
    </row>
    <row r="42" spans="1:39" s="27" customFormat="1" ht="11.25">
      <c r="A42" s="65"/>
      <c r="B42" s="23"/>
      <c r="C42" s="24"/>
      <c r="D42" s="52" t="e">
        <f>C42*(HLOOKUP("Electricity",'Energy Conv Factors'!$A$6:$M$17,'General Info'!$E$7,FALSE))/1000</f>
        <v>#VALUE!</v>
      </c>
      <c r="E42" s="51"/>
      <c r="F42" s="52" t="e">
        <f>C42*(HLOOKUP('General Info'!$C$6,'Electricity factors'!$B$3:$N$26,'General Info'!$D$7,TRUE))/1000</f>
        <v>#N/A</v>
      </c>
      <c r="G42" s="24"/>
      <c r="H42" s="52" t="e">
        <f>G42*(HLOOKUP("Natural gas",'Energy Conv Factors'!$A$6:$M$17,'General Info'!$E$7,FALSE))/1000</f>
        <v>#VALUE!</v>
      </c>
      <c r="I42" s="51"/>
      <c r="J42" s="52" t="e">
        <f>G42*(HLOOKUP('General Info'!$C$6,'Natural gas'!B$1:N$2,2,FALSE))</f>
        <v>#N/A</v>
      </c>
      <c r="K42" s="24"/>
      <c r="L42" s="52">
        <f t="shared" si="5"/>
        <v>0</v>
      </c>
      <c r="M42" s="51"/>
      <c r="N42" s="52">
        <f aca="true" t="shared" si="13" ref="N42:N59">(K42*deco2)</f>
        <v>0</v>
      </c>
      <c r="O42" s="24"/>
      <c r="P42" s="52" t="e">
        <f>O42*(HLOOKUP("Fuel Oil",'Energy Conv Factors'!$A$6:$M$17,'General Info'!$E$7,FALSE))/1000</f>
        <v>#VALUE!</v>
      </c>
      <c r="Q42" s="51"/>
      <c r="R42" s="52">
        <f aca="true" t="shared" si="14" ref="R42:R59">(O42*fueloilco2)</f>
        <v>0</v>
      </c>
      <c r="S42" s="24"/>
      <c r="T42" s="52" t="e">
        <f>S42*(HLOOKUP("Diesel",'Energy Conv Factors'!$A$6:$M$17,'General Info'!$E$7,FALSE))/1000</f>
        <v>#VALUE!</v>
      </c>
      <c r="U42" s="51"/>
      <c r="V42" s="52">
        <f aca="true" t="shared" si="15" ref="V42:V59">(S42*stationarydieselco2)</f>
        <v>0</v>
      </c>
      <c r="W42" s="54"/>
      <c r="X42" s="52" t="e">
        <f t="shared" si="6"/>
        <v>#VALUE!</v>
      </c>
      <c r="Y42" s="51">
        <f t="shared" si="7"/>
        <v>0</v>
      </c>
      <c r="Z42" s="52" t="e">
        <f t="shared" si="8"/>
        <v>#N/A</v>
      </c>
      <c r="AA42" s="36" t="e">
        <f t="shared" si="11"/>
        <v>#DIV/0!</v>
      </c>
      <c r="AB42" s="37" t="e">
        <f t="shared" si="12"/>
        <v>#N/A</v>
      </c>
      <c r="AC42" s="65"/>
      <c r="AD42" s="65"/>
      <c r="AE42" s="65"/>
      <c r="AF42" s="65"/>
      <c r="AG42" s="65"/>
      <c r="AH42" s="65"/>
      <c r="AI42" s="65"/>
      <c r="AJ42" s="65"/>
      <c r="AK42" s="65"/>
      <c r="AL42" s="65"/>
      <c r="AM42" s="65"/>
    </row>
    <row r="43" spans="1:39" s="27" customFormat="1" ht="11.25">
      <c r="A43" s="65"/>
      <c r="B43" s="23"/>
      <c r="C43" s="24"/>
      <c r="D43" s="52" t="e">
        <f>C43*(HLOOKUP("Electricity",'Energy Conv Factors'!$A$6:$M$17,'General Info'!$E$7,FALSE))/1000</f>
        <v>#VALUE!</v>
      </c>
      <c r="E43" s="51"/>
      <c r="F43" s="52" t="e">
        <f>C43*(HLOOKUP('General Info'!$C$6,'Electricity factors'!$B$3:$N$26,'General Info'!$D$7,TRUE))/1000</f>
        <v>#N/A</v>
      </c>
      <c r="G43" s="24"/>
      <c r="H43" s="52" t="e">
        <f>G43*(HLOOKUP("Natural gas",'Energy Conv Factors'!$A$6:$M$17,'General Info'!$E$7,FALSE))/1000</f>
        <v>#VALUE!</v>
      </c>
      <c r="I43" s="51"/>
      <c r="J43" s="52" t="e">
        <f>G43*(HLOOKUP('General Info'!$C$6,'Natural gas'!B$1:N$2,2,FALSE))</f>
        <v>#N/A</v>
      </c>
      <c r="K43" s="24"/>
      <c r="L43" s="52">
        <f t="shared" si="5"/>
        <v>0</v>
      </c>
      <c r="M43" s="51"/>
      <c r="N43" s="52">
        <f t="shared" si="13"/>
        <v>0</v>
      </c>
      <c r="O43" s="24"/>
      <c r="P43" s="52" t="e">
        <f>O43*(HLOOKUP("Fuel Oil",'Energy Conv Factors'!$A$6:$M$17,'General Info'!$E$7,FALSE))/1000</f>
        <v>#VALUE!</v>
      </c>
      <c r="Q43" s="51"/>
      <c r="R43" s="52">
        <f t="shared" si="14"/>
        <v>0</v>
      </c>
      <c r="S43" s="24"/>
      <c r="T43" s="52" t="e">
        <f>S43*(HLOOKUP("Diesel",'Energy Conv Factors'!$A$6:$M$17,'General Info'!$E$7,FALSE))/1000</f>
        <v>#VALUE!</v>
      </c>
      <c r="U43" s="51"/>
      <c r="V43" s="52">
        <f t="shared" si="15"/>
        <v>0</v>
      </c>
      <c r="W43" s="54"/>
      <c r="X43" s="52" t="e">
        <f t="shared" si="6"/>
        <v>#VALUE!</v>
      </c>
      <c r="Y43" s="51">
        <f t="shared" si="7"/>
        <v>0</v>
      </c>
      <c r="Z43" s="52" t="e">
        <f t="shared" si="8"/>
        <v>#N/A</v>
      </c>
      <c r="AA43" s="36" t="e">
        <f t="shared" si="11"/>
        <v>#DIV/0!</v>
      </c>
      <c r="AB43" s="37" t="e">
        <f t="shared" si="12"/>
        <v>#N/A</v>
      </c>
      <c r="AC43" s="65"/>
      <c r="AD43" s="65"/>
      <c r="AE43" s="65"/>
      <c r="AF43" s="65"/>
      <c r="AG43" s="65"/>
      <c r="AH43" s="65"/>
      <c r="AI43" s="65"/>
      <c r="AJ43" s="65"/>
      <c r="AK43" s="65"/>
      <c r="AL43" s="65"/>
      <c r="AM43" s="65"/>
    </row>
    <row r="44" spans="1:39" s="27" customFormat="1" ht="11.25">
      <c r="A44" s="65"/>
      <c r="B44" s="23"/>
      <c r="C44" s="24"/>
      <c r="D44" s="52" t="e">
        <f>C44*(HLOOKUP("Electricity",'Energy Conv Factors'!$A$6:$M$17,'General Info'!$E$7,FALSE))/1000</f>
        <v>#VALUE!</v>
      </c>
      <c r="E44" s="51"/>
      <c r="F44" s="52" t="e">
        <f>C44*(HLOOKUP('General Info'!$C$6,'Electricity factors'!$B$3:$N$26,'General Info'!$D$7,TRUE))/1000</f>
        <v>#N/A</v>
      </c>
      <c r="G44" s="24"/>
      <c r="H44" s="52" t="e">
        <f>G44*(HLOOKUP("Natural gas",'Energy Conv Factors'!$A$6:$M$17,'General Info'!$E$7,FALSE))/1000</f>
        <v>#VALUE!</v>
      </c>
      <c r="I44" s="51"/>
      <c r="J44" s="52" t="e">
        <f>G44*(HLOOKUP('General Info'!$C$6,'Natural gas'!B$1:N$2,2,FALSE))</f>
        <v>#N/A</v>
      </c>
      <c r="K44" s="24"/>
      <c r="L44" s="52">
        <f t="shared" si="5"/>
        <v>0</v>
      </c>
      <c r="M44" s="51"/>
      <c r="N44" s="52">
        <f t="shared" si="13"/>
        <v>0</v>
      </c>
      <c r="O44" s="24"/>
      <c r="P44" s="52" t="e">
        <f>O44*(HLOOKUP("Fuel Oil",'Energy Conv Factors'!$A$6:$M$17,'General Info'!$E$7,FALSE))/1000</f>
        <v>#VALUE!</v>
      </c>
      <c r="Q44" s="51"/>
      <c r="R44" s="52">
        <f t="shared" si="14"/>
        <v>0</v>
      </c>
      <c r="S44" s="24"/>
      <c r="T44" s="52" t="e">
        <f>S44*(HLOOKUP("Diesel",'Energy Conv Factors'!$A$6:$M$17,'General Info'!$E$7,FALSE))/1000</f>
        <v>#VALUE!</v>
      </c>
      <c r="U44" s="51"/>
      <c r="V44" s="52">
        <f t="shared" si="15"/>
        <v>0</v>
      </c>
      <c r="W44" s="54"/>
      <c r="X44" s="52" t="e">
        <f t="shared" si="6"/>
        <v>#VALUE!</v>
      </c>
      <c r="Y44" s="51">
        <f t="shared" si="7"/>
        <v>0</v>
      </c>
      <c r="Z44" s="52" t="e">
        <f t="shared" si="8"/>
        <v>#N/A</v>
      </c>
      <c r="AA44" s="36" t="e">
        <f t="shared" si="11"/>
        <v>#DIV/0!</v>
      </c>
      <c r="AB44" s="37" t="e">
        <f t="shared" si="12"/>
        <v>#N/A</v>
      </c>
      <c r="AC44" s="65"/>
      <c r="AD44" s="65"/>
      <c r="AE44" s="65"/>
      <c r="AF44" s="65"/>
      <c r="AG44" s="65"/>
      <c r="AH44" s="65"/>
      <c r="AI44" s="65"/>
      <c r="AJ44" s="65"/>
      <c r="AK44" s="65"/>
      <c r="AL44" s="65"/>
      <c r="AM44" s="65"/>
    </row>
    <row r="45" spans="1:39" s="27" customFormat="1" ht="11.25">
      <c r="A45" s="65"/>
      <c r="B45" s="23"/>
      <c r="C45" s="24"/>
      <c r="D45" s="52" t="e">
        <f>C45*(HLOOKUP("Electricity",'Energy Conv Factors'!$A$6:$M$17,'General Info'!$E$7,FALSE))/1000</f>
        <v>#VALUE!</v>
      </c>
      <c r="E45" s="51"/>
      <c r="F45" s="52" t="e">
        <f>C45*(HLOOKUP('General Info'!$C$6,'Electricity factors'!$B$3:$N$26,'General Info'!$D$7,TRUE))/1000</f>
        <v>#N/A</v>
      </c>
      <c r="G45" s="24"/>
      <c r="H45" s="52" t="e">
        <f>G45*(HLOOKUP("Natural gas",'Energy Conv Factors'!$A$6:$M$17,'General Info'!$E$7,FALSE))/1000</f>
        <v>#VALUE!</v>
      </c>
      <c r="I45" s="51"/>
      <c r="J45" s="52" t="e">
        <f>G45*(HLOOKUP('General Info'!$C$6,'Natural gas'!B$1:N$2,2,FALSE))</f>
        <v>#N/A</v>
      </c>
      <c r="K45" s="24"/>
      <c r="L45" s="52">
        <f t="shared" si="5"/>
        <v>0</v>
      </c>
      <c r="M45" s="51"/>
      <c r="N45" s="52">
        <f t="shared" si="13"/>
        <v>0</v>
      </c>
      <c r="O45" s="24"/>
      <c r="P45" s="52" t="e">
        <f>O45*(HLOOKUP("Fuel Oil",'Energy Conv Factors'!$A$6:$M$17,'General Info'!$E$7,FALSE))/1000</f>
        <v>#VALUE!</v>
      </c>
      <c r="Q45" s="51"/>
      <c r="R45" s="52">
        <f t="shared" si="14"/>
        <v>0</v>
      </c>
      <c r="S45" s="24"/>
      <c r="T45" s="52" t="e">
        <f>S45*(HLOOKUP("Diesel",'Energy Conv Factors'!$A$6:$M$17,'General Info'!$E$7,FALSE))/1000</f>
        <v>#VALUE!</v>
      </c>
      <c r="U45" s="51"/>
      <c r="V45" s="52">
        <f t="shared" si="15"/>
        <v>0</v>
      </c>
      <c r="W45" s="54"/>
      <c r="X45" s="52" t="e">
        <f t="shared" si="6"/>
        <v>#VALUE!</v>
      </c>
      <c r="Y45" s="51">
        <f t="shared" si="7"/>
        <v>0</v>
      </c>
      <c r="Z45" s="52" t="e">
        <f t="shared" si="8"/>
        <v>#N/A</v>
      </c>
      <c r="AA45" s="36" t="e">
        <f t="shared" si="11"/>
        <v>#DIV/0!</v>
      </c>
      <c r="AB45" s="37" t="e">
        <f t="shared" si="12"/>
        <v>#N/A</v>
      </c>
      <c r="AC45" s="65"/>
      <c r="AD45" s="65"/>
      <c r="AE45" s="65"/>
      <c r="AF45" s="65"/>
      <c r="AG45" s="65"/>
      <c r="AH45" s="65"/>
      <c r="AI45" s="65"/>
      <c r="AJ45" s="65"/>
      <c r="AK45" s="65"/>
      <c r="AL45" s="65"/>
      <c r="AM45" s="65"/>
    </row>
    <row r="46" spans="1:39" s="27" customFormat="1" ht="11.25">
      <c r="A46" s="65"/>
      <c r="B46" s="23"/>
      <c r="C46" s="24"/>
      <c r="D46" s="52" t="e">
        <f>C46*(HLOOKUP("Electricity",'Energy Conv Factors'!$A$6:$M$17,'General Info'!$E$7,FALSE))/1000</f>
        <v>#VALUE!</v>
      </c>
      <c r="E46" s="51"/>
      <c r="F46" s="52" t="e">
        <f>C46*(HLOOKUP('General Info'!$C$6,'Electricity factors'!$B$3:$N$26,'General Info'!$D$7,TRUE))/1000</f>
        <v>#N/A</v>
      </c>
      <c r="G46" s="24"/>
      <c r="H46" s="52" t="e">
        <f>G46*(HLOOKUP("Natural gas",'Energy Conv Factors'!$A$6:$M$17,'General Info'!$E$7,FALSE))/1000</f>
        <v>#VALUE!</v>
      </c>
      <c r="I46" s="51"/>
      <c r="J46" s="52" t="e">
        <f>G46*(HLOOKUP('General Info'!$C$6,'Natural gas'!B$1:N$2,2,FALSE))</f>
        <v>#N/A</v>
      </c>
      <c r="K46" s="24"/>
      <c r="L46" s="52">
        <f t="shared" si="5"/>
        <v>0</v>
      </c>
      <c r="M46" s="51"/>
      <c r="N46" s="52">
        <f t="shared" si="13"/>
        <v>0</v>
      </c>
      <c r="O46" s="24"/>
      <c r="P46" s="52" t="e">
        <f>O46*(HLOOKUP("Fuel Oil",'Energy Conv Factors'!$A$6:$M$17,'General Info'!$E$7,FALSE))/1000</f>
        <v>#VALUE!</v>
      </c>
      <c r="Q46" s="51"/>
      <c r="R46" s="52">
        <f t="shared" si="14"/>
        <v>0</v>
      </c>
      <c r="S46" s="24"/>
      <c r="T46" s="52" t="e">
        <f>S46*(HLOOKUP("Diesel",'Energy Conv Factors'!$A$6:$M$17,'General Info'!$E$7,FALSE))/1000</f>
        <v>#VALUE!</v>
      </c>
      <c r="U46" s="51"/>
      <c r="V46" s="52">
        <f t="shared" si="15"/>
        <v>0</v>
      </c>
      <c r="W46" s="54"/>
      <c r="X46" s="52" t="e">
        <f t="shared" si="6"/>
        <v>#VALUE!</v>
      </c>
      <c r="Y46" s="51">
        <f t="shared" si="7"/>
        <v>0</v>
      </c>
      <c r="Z46" s="52" t="e">
        <f t="shared" si="8"/>
        <v>#N/A</v>
      </c>
      <c r="AA46" s="36" t="e">
        <f t="shared" si="11"/>
        <v>#DIV/0!</v>
      </c>
      <c r="AB46" s="37" t="e">
        <f t="shared" si="12"/>
        <v>#N/A</v>
      </c>
      <c r="AC46" s="65"/>
      <c r="AD46" s="65"/>
      <c r="AE46" s="65"/>
      <c r="AF46" s="65"/>
      <c r="AG46" s="65"/>
      <c r="AH46" s="65"/>
      <c r="AI46" s="65"/>
      <c r="AJ46" s="65"/>
      <c r="AK46" s="65"/>
      <c r="AL46" s="65"/>
      <c r="AM46" s="65"/>
    </row>
    <row r="47" spans="1:39" s="27" customFormat="1" ht="11.25">
      <c r="A47" s="65"/>
      <c r="B47" s="23"/>
      <c r="C47" s="24"/>
      <c r="D47" s="52" t="e">
        <f>C47*(HLOOKUP("Electricity",'Energy Conv Factors'!$A$6:$M$17,'General Info'!$E$7,FALSE))/1000</f>
        <v>#VALUE!</v>
      </c>
      <c r="E47" s="51"/>
      <c r="F47" s="52" t="e">
        <f>C47*(HLOOKUP('General Info'!$C$6,'Electricity factors'!$B$3:$N$26,'General Info'!$D$7,TRUE))/1000</f>
        <v>#N/A</v>
      </c>
      <c r="G47" s="24"/>
      <c r="H47" s="52" t="e">
        <f>G47*(HLOOKUP("Natural gas",'Energy Conv Factors'!$A$6:$M$17,'General Info'!$E$7,FALSE))/1000</f>
        <v>#VALUE!</v>
      </c>
      <c r="I47" s="51"/>
      <c r="J47" s="52" t="e">
        <f>G47*(HLOOKUP('General Info'!$C$6,'Natural gas'!B$1:N$2,2,FALSE))</f>
        <v>#N/A</v>
      </c>
      <c r="K47" s="24"/>
      <c r="L47" s="52">
        <f t="shared" si="5"/>
        <v>0</v>
      </c>
      <c r="M47" s="51"/>
      <c r="N47" s="52">
        <f t="shared" si="13"/>
        <v>0</v>
      </c>
      <c r="O47" s="24"/>
      <c r="P47" s="52" t="e">
        <f>O47*(HLOOKUP("Fuel Oil",'Energy Conv Factors'!$A$6:$M$17,'General Info'!$E$7,FALSE))/1000</f>
        <v>#VALUE!</v>
      </c>
      <c r="Q47" s="51"/>
      <c r="R47" s="52">
        <f t="shared" si="14"/>
        <v>0</v>
      </c>
      <c r="S47" s="24"/>
      <c r="T47" s="52" t="e">
        <f>S47*(HLOOKUP("Diesel",'Energy Conv Factors'!$A$6:$M$17,'General Info'!$E$7,FALSE))/1000</f>
        <v>#VALUE!</v>
      </c>
      <c r="U47" s="51"/>
      <c r="V47" s="52">
        <f t="shared" si="15"/>
        <v>0</v>
      </c>
      <c r="W47" s="54"/>
      <c r="X47" s="52" t="e">
        <f t="shared" si="6"/>
        <v>#VALUE!</v>
      </c>
      <c r="Y47" s="51">
        <f t="shared" si="7"/>
        <v>0</v>
      </c>
      <c r="Z47" s="52" t="e">
        <f t="shared" si="8"/>
        <v>#N/A</v>
      </c>
      <c r="AA47" s="36" t="e">
        <f t="shared" si="11"/>
        <v>#DIV/0!</v>
      </c>
      <c r="AB47" s="37" t="e">
        <f t="shared" si="12"/>
        <v>#N/A</v>
      </c>
      <c r="AC47" s="65"/>
      <c r="AD47" s="65"/>
      <c r="AE47" s="65"/>
      <c r="AF47" s="65"/>
      <c r="AG47" s="65"/>
      <c r="AH47" s="65"/>
      <c r="AI47" s="65"/>
      <c r="AJ47" s="65"/>
      <c r="AK47" s="65"/>
      <c r="AL47" s="65"/>
      <c r="AM47" s="65"/>
    </row>
    <row r="48" spans="1:39" s="27" customFormat="1" ht="11.25">
      <c r="A48" s="65"/>
      <c r="B48" s="23"/>
      <c r="C48" s="24"/>
      <c r="D48" s="52" t="e">
        <f>C48*(HLOOKUP("Electricity",'Energy Conv Factors'!$A$6:$M$17,'General Info'!$E$7,FALSE))/1000</f>
        <v>#VALUE!</v>
      </c>
      <c r="E48" s="51"/>
      <c r="F48" s="52" t="e">
        <f>C48*(HLOOKUP('General Info'!$C$6,'Electricity factors'!$B$3:$N$26,'General Info'!$D$7,TRUE))/1000</f>
        <v>#N/A</v>
      </c>
      <c r="G48" s="24"/>
      <c r="H48" s="52" t="e">
        <f>G48*(HLOOKUP("Natural gas",'Energy Conv Factors'!$A$6:$M$17,'General Info'!$E$7,FALSE))/1000</f>
        <v>#VALUE!</v>
      </c>
      <c r="I48" s="51"/>
      <c r="J48" s="52" t="e">
        <f>G48*(HLOOKUP('General Info'!$C$6,'Natural gas'!B$1:N$2,2,FALSE))</f>
        <v>#N/A</v>
      </c>
      <c r="K48" s="24"/>
      <c r="L48" s="52">
        <f t="shared" si="5"/>
        <v>0</v>
      </c>
      <c r="M48" s="51"/>
      <c r="N48" s="52">
        <f t="shared" si="13"/>
        <v>0</v>
      </c>
      <c r="O48" s="24"/>
      <c r="P48" s="52" t="e">
        <f>O48*(HLOOKUP("Fuel Oil",'Energy Conv Factors'!$A$6:$M$17,'General Info'!$E$7,FALSE))/1000</f>
        <v>#VALUE!</v>
      </c>
      <c r="Q48" s="51"/>
      <c r="R48" s="52">
        <f t="shared" si="14"/>
        <v>0</v>
      </c>
      <c r="S48" s="24"/>
      <c r="T48" s="52" t="e">
        <f>S48*(HLOOKUP("Diesel",'Energy Conv Factors'!$A$6:$M$17,'General Info'!$E$7,FALSE))/1000</f>
        <v>#VALUE!</v>
      </c>
      <c r="U48" s="51"/>
      <c r="V48" s="52">
        <f t="shared" si="15"/>
        <v>0</v>
      </c>
      <c r="W48" s="54"/>
      <c r="X48" s="52" t="e">
        <f t="shared" si="6"/>
        <v>#VALUE!</v>
      </c>
      <c r="Y48" s="51">
        <f t="shared" si="7"/>
        <v>0</v>
      </c>
      <c r="Z48" s="52" t="e">
        <f t="shared" si="8"/>
        <v>#N/A</v>
      </c>
      <c r="AA48" s="36" t="e">
        <f t="shared" si="11"/>
        <v>#DIV/0!</v>
      </c>
      <c r="AB48" s="37" t="e">
        <f t="shared" si="12"/>
        <v>#N/A</v>
      </c>
      <c r="AC48" s="65"/>
      <c r="AD48" s="65"/>
      <c r="AE48" s="65"/>
      <c r="AF48" s="65"/>
      <c r="AG48" s="65"/>
      <c r="AH48" s="65"/>
      <c r="AI48" s="65"/>
      <c r="AJ48" s="65"/>
      <c r="AK48" s="65"/>
      <c r="AL48" s="65"/>
      <c r="AM48" s="65"/>
    </row>
    <row r="49" spans="1:39" s="27" customFormat="1" ht="11.25">
      <c r="A49" s="65"/>
      <c r="B49" s="28"/>
      <c r="C49" s="24"/>
      <c r="D49" s="52" t="e">
        <f>C49*(HLOOKUP("Electricity",'Energy Conv Factors'!$A$6:$M$17,'General Info'!$E$7,FALSE))/1000</f>
        <v>#VALUE!</v>
      </c>
      <c r="E49" s="51"/>
      <c r="F49" s="52" t="e">
        <f>C49*(HLOOKUP('General Info'!$C$6,'Electricity factors'!$B$3:$N$26,'General Info'!$D$7,TRUE))/1000</f>
        <v>#N/A</v>
      </c>
      <c r="G49" s="24"/>
      <c r="H49" s="52" t="e">
        <f>G49*(HLOOKUP("Natural gas",'Energy Conv Factors'!$A$6:$M$17,'General Info'!$E$7,FALSE))/1000</f>
        <v>#VALUE!</v>
      </c>
      <c r="I49" s="51"/>
      <c r="J49" s="52" t="e">
        <f>G49*(HLOOKUP('General Info'!$C$6,'Natural gas'!B$1:N$2,2,FALSE))</f>
        <v>#N/A</v>
      </c>
      <c r="K49" s="24"/>
      <c r="L49" s="52">
        <f t="shared" si="5"/>
        <v>0</v>
      </c>
      <c r="M49" s="51"/>
      <c r="N49" s="52">
        <f t="shared" si="13"/>
        <v>0</v>
      </c>
      <c r="O49" s="24"/>
      <c r="P49" s="52" t="e">
        <f>O49*(HLOOKUP("Fuel Oil",'Energy Conv Factors'!$A$6:$M$17,'General Info'!$E$7,FALSE))/1000</f>
        <v>#VALUE!</v>
      </c>
      <c r="Q49" s="51"/>
      <c r="R49" s="52">
        <f t="shared" si="14"/>
        <v>0</v>
      </c>
      <c r="S49" s="24"/>
      <c r="T49" s="52" t="e">
        <f>S49*(HLOOKUP("Diesel",'Energy Conv Factors'!$A$6:$M$17,'General Info'!$E$7,FALSE))/1000</f>
        <v>#VALUE!</v>
      </c>
      <c r="U49" s="51"/>
      <c r="V49" s="52">
        <f t="shared" si="15"/>
        <v>0</v>
      </c>
      <c r="W49" s="54"/>
      <c r="X49" s="52" t="e">
        <f t="shared" si="6"/>
        <v>#VALUE!</v>
      </c>
      <c r="Y49" s="51">
        <f t="shared" si="7"/>
        <v>0</v>
      </c>
      <c r="Z49" s="52" t="e">
        <f t="shared" si="8"/>
        <v>#N/A</v>
      </c>
      <c r="AA49" s="36" t="e">
        <f t="shared" si="11"/>
        <v>#DIV/0!</v>
      </c>
      <c r="AB49" s="37" t="e">
        <f t="shared" si="12"/>
        <v>#N/A</v>
      </c>
      <c r="AC49" s="65"/>
      <c r="AD49" s="65"/>
      <c r="AE49" s="65"/>
      <c r="AF49" s="65"/>
      <c r="AG49" s="65"/>
      <c r="AH49" s="65"/>
      <c r="AI49" s="65"/>
      <c r="AJ49" s="65"/>
      <c r="AK49" s="65"/>
      <c r="AL49" s="65"/>
      <c r="AM49" s="65"/>
    </row>
    <row r="50" spans="1:39" s="27" customFormat="1" ht="11.25">
      <c r="A50" s="65"/>
      <c r="B50" s="28"/>
      <c r="C50" s="24"/>
      <c r="D50" s="52" t="e">
        <f>C50*(HLOOKUP("Electricity",'Energy Conv Factors'!$A$6:$M$17,'General Info'!$E$7,FALSE))/1000</f>
        <v>#VALUE!</v>
      </c>
      <c r="E50" s="51"/>
      <c r="F50" s="52" t="e">
        <f>C50*(HLOOKUP('General Info'!$C$6,'Electricity factors'!$B$3:$N$26,'General Info'!$D$7,TRUE))/1000</f>
        <v>#N/A</v>
      </c>
      <c r="G50" s="24"/>
      <c r="H50" s="52" t="e">
        <f>G50*(HLOOKUP("Natural gas",'Energy Conv Factors'!$A$6:$M$17,'General Info'!$E$7,FALSE))/1000</f>
        <v>#VALUE!</v>
      </c>
      <c r="I50" s="51"/>
      <c r="J50" s="52" t="e">
        <f>G50*(HLOOKUP('General Info'!$C$6,'Natural gas'!B$1:N$2,2,FALSE))</f>
        <v>#N/A</v>
      </c>
      <c r="K50" s="24"/>
      <c r="L50" s="52">
        <f t="shared" si="5"/>
        <v>0</v>
      </c>
      <c r="M50" s="51"/>
      <c r="N50" s="52">
        <f t="shared" si="13"/>
        <v>0</v>
      </c>
      <c r="O50" s="24"/>
      <c r="P50" s="52" t="e">
        <f>O50*(HLOOKUP("Fuel Oil",'Energy Conv Factors'!$A$6:$M$17,'General Info'!$E$7,FALSE))/1000</f>
        <v>#VALUE!</v>
      </c>
      <c r="Q50" s="51"/>
      <c r="R50" s="52">
        <f t="shared" si="14"/>
        <v>0</v>
      </c>
      <c r="S50" s="24"/>
      <c r="T50" s="52" t="e">
        <f>S50*(HLOOKUP("Diesel",'Energy Conv Factors'!$A$6:$M$17,'General Info'!$E$7,FALSE))/1000</f>
        <v>#VALUE!</v>
      </c>
      <c r="U50" s="51"/>
      <c r="V50" s="52">
        <f t="shared" si="15"/>
        <v>0</v>
      </c>
      <c r="W50" s="54"/>
      <c r="X50" s="52" t="e">
        <f t="shared" si="6"/>
        <v>#VALUE!</v>
      </c>
      <c r="Y50" s="51">
        <f t="shared" si="7"/>
        <v>0</v>
      </c>
      <c r="Z50" s="52" t="e">
        <f t="shared" si="8"/>
        <v>#N/A</v>
      </c>
      <c r="AA50" s="36" t="e">
        <f t="shared" si="11"/>
        <v>#DIV/0!</v>
      </c>
      <c r="AB50" s="37" t="e">
        <f t="shared" si="12"/>
        <v>#N/A</v>
      </c>
      <c r="AC50" s="65"/>
      <c r="AD50" s="65"/>
      <c r="AE50" s="65"/>
      <c r="AF50" s="65"/>
      <c r="AG50" s="65"/>
      <c r="AH50" s="65"/>
      <c r="AI50" s="65"/>
      <c r="AJ50" s="65"/>
      <c r="AK50" s="65"/>
      <c r="AL50" s="65"/>
      <c r="AM50" s="65"/>
    </row>
    <row r="51" spans="1:39" s="27" customFormat="1" ht="11.25">
      <c r="A51" s="65"/>
      <c r="B51" s="28"/>
      <c r="C51" s="24"/>
      <c r="D51" s="52" t="e">
        <f>C51*(HLOOKUP("Electricity",'Energy Conv Factors'!$A$6:$M$17,'General Info'!$E$7,FALSE))/1000</f>
        <v>#VALUE!</v>
      </c>
      <c r="E51" s="51"/>
      <c r="F51" s="52" t="e">
        <f>C51*(HLOOKUP('General Info'!$C$6,'Electricity factors'!$B$3:$N$26,'General Info'!$D$7,TRUE))/1000</f>
        <v>#N/A</v>
      </c>
      <c r="G51" s="24"/>
      <c r="H51" s="52" t="e">
        <f>G51*(HLOOKUP("Natural gas",'Energy Conv Factors'!$A$6:$M$17,'General Info'!$E$7,FALSE))/1000</f>
        <v>#VALUE!</v>
      </c>
      <c r="I51" s="51"/>
      <c r="J51" s="52" t="e">
        <f>G51*(HLOOKUP('General Info'!$C$6,'Natural gas'!B$1:N$2,2,FALSE))</f>
        <v>#N/A</v>
      </c>
      <c r="K51" s="24"/>
      <c r="L51" s="52">
        <f t="shared" si="5"/>
        <v>0</v>
      </c>
      <c r="M51" s="51"/>
      <c r="N51" s="52">
        <f t="shared" si="13"/>
        <v>0</v>
      </c>
      <c r="O51" s="24"/>
      <c r="P51" s="52" t="e">
        <f>O51*(HLOOKUP("Fuel Oil",'Energy Conv Factors'!$A$6:$M$17,'General Info'!$E$7,FALSE))/1000</f>
        <v>#VALUE!</v>
      </c>
      <c r="Q51" s="51"/>
      <c r="R51" s="52">
        <f t="shared" si="14"/>
        <v>0</v>
      </c>
      <c r="S51" s="24"/>
      <c r="T51" s="52" t="e">
        <f>S51*(HLOOKUP("Diesel",'Energy Conv Factors'!$A$6:$M$17,'General Info'!$E$7,FALSE))/1000</f>
        <v>#VALUE!</v>
      </c>
      <c r="U51" s="51"/>
      <c r="V51" s="52">
        <f t="shared" si="15"/>
        <v>0</v>
      </c>
      <c r="W51" s="54"/>
      <c r="X51" s="52" t="e">
        <f t="shared" si="6"/>
        <v>#VALUE!</v>
      </c>
      <c r="Y51" s="51">
        <f t="shared" si="7"/>
        <v>0</v>
      </c>
      <c r="Z51" s="52" t="e">
        <f t="shared" si="8"/>
        <v>#N/A</v>
      </c>
      <c r="AA51" s="36" t="e">
        <f t="shared" si="11"/>
        <v>#DIV/0!</v>
      </c>
      <c r="AB51" s="37" t="e">
        <f t="shared" si="12"/>
        <v>#N/A</v>
      </c>
      <c r="AC51" s="65"/>
      <c r="AD51" s="65"/>
      <c r="AE51" s="65"/>
      <c r="AF51" s="65"/>
      <c r="AG51" s="65"/>
      <c r="AH51" s="65"/>
      <c r="AI51" s="65"/>
      <c r="AJ51" s="65"/>
      <c r="AK51" s="65"/>
      <c r="AL51" s="65"/>
      <c r="AM51" s="65"/>
    </row>
    <row r="52" spans="1:39" s="27" customFormat="1" ht="11.25">
      <c r="A52" s="65"/>
      <c r="B52" s="28"/>
      <c r="C52" s="24"/>
      <c r="D52" s="52" t="e">
        <f>C52*(HLOOKUP("Electricity",'Energy Conv Factors'!$A$6:$M$17,'General Info'!$E$7,FALSE))/1000</f>
        <v>#VALUE!</v>
      </c>
      <c r="E52" s="51"/>
      <c r="F52" s="52" t="e">
        <f>C52*(HLOOKUP('General Info'!$C$6,'Electricity factors'!$B$3:$N$26,'General Info'!$D$7,TRUE))/1000</f>
        <v>#N/A</v>
      </c>
      <c r="G52" s="24"/>
      <c r="H52" s="52" t="e">
        <f>G52*(HLOOKUP("Natural gas",'Energy Conv Factors'!$A$6:$M$17,'General Info'!$E$7,FALSE))/1000</f>
        <v>#VALUE!</v>
      </c>
      <c r="I52" s="51"/>
      <c r="J52" s="52" t="e">
        <f>G52*(HLOOKUP('General Info'!$C$6,'Natural gas'!B$1:N$2,2,FALSE))</f>
        <v>#N/A</v>
      </c>
      <c r="K52" s="24"/>
      <c r="L52" s="52">
        <f t="shared" si="5"/>
        <v>0</v>
      </c>
      <c r="M52" s="51"/>
      <c r="N52" s="52">
        <f t="shared" si="13"/>
        <v>0</v>
      </c>
      <c r="O52" s="24"/>
      <c r="P52" s="52" t="e">
        <f>O52*(HLOOKUP("Fuel Oil",'Energy Conv Factors'!$A$6:$M$17,'General Info'!$E$7,FALSE))/1000</f>
        <v>#VALUE!</v>
      </c>
      <c r="Q52" s="51"/>
      <c r="R52" s="52">
        <f t="shared" si="14"/>
        <v>0</v>
      </c>
      <c r="S52" s="24"/>
      <c r="T52" s="52" t="e">
        <f>S52*(HLOOKUP("Diesel",'Energy Conv Factors'!$A$6:$M$17,'General Info'!$E$7,FALSE))/1000</f>
        <v>#VALUE!</v>
      </c>
      <c r="U52" s="51"/>
      <c r="V52" s="52">
        <f t="shared" si="15"/>
        <v>0</v>
      </c>
      <c r="W52" s="54"/>
      <c r="X52" s="52" t="e">
        <f t="shared" si="6"/>
        <v>#VALUE!</v>
      </c>
      <c r="Y52" s="51">
        <f t="shared" si="7"/>
        <v>0</v>
      </c>
      <c r="Z52" s="52" t="e">
        <f t="shared" si="8"/>
        <v>#N/A</v>
      </c>
      <c r="AA52" s="36" t="e">
        <f t="shared" si="11"/>
        <v>#DIV/0!</v>
      </c>
      <c r="AB52" s="37" t="e">
        <f t="shared" si="12"/>
        <v>#N/A</v>
      </c>
      <c r="AC52" s="65"/>
      <c r="AD52" s="65"/>
      <c r="AE52" s="65"/>
      <c r="AF52" s="65"/>
      <c r="AG52" s="65"/>
      <c r="AH52" s="65"/>
      <c r="AI52" s="65"/>
      <c r="AJ52" s="65"/>
      <c r="AK52" s="65"/>
      <c r="AL52" s="65"/>
      <c r="AM52" s="65"/>
    </row>
    <row r="53" spans="1:39" s="27" customFormat="1" ht="11.25">
      <c r="A53" s="65"/>
      <c r="B53" s="28"/>
      <c r="C53" s="24"/>
      <c r="D53" s="52" t="e">
        <f>C53*(HLOOKUP("Electricity",'Energy Conv Factors'!$A$6:$M$17,'General Info'!$E$7,FALSE))/1000</f>
        <v>#VALUE!</v>
      </c>
      <c r="E53" s="51"/>
      <c r="F53" s="52" t="e">
        <f>C53*(HLOOKUP('General Info'!$C$6,'Electricity factors'!$B$3:$N$26,'General Info'!$D$7,TRUE))/1000</f>
        <v>#N/A</v>
      </c>
      <c r="G53" s="24"/>
      <c r="H53" s="52" t="e">
        <f>G53*(HLOOKUP("Natural gas",'Energy Conv Factors'!$A$6:$M$17,'General Info'!$E$7,FALSE))/1000</f>
        <v>#VALUE!</v>
      </c>
      <c r="I53" s="51"/>
      <c r="J53" s="52" t="e">
        <f>G53*(HLOOKUP('General Info'!$C$6,'Natural gas'!B$1:N$2,2,FALSE))</f>
        <v>#N/A</v>
      </c>
      <c r="K53" s="24"/>
      <c r="L53" s="52">
        <f t="shared" si="5"/>
        <v>0</v>
      </c>
      <c r="M53" s="51"/>
      <c r="N53" s="52">
        <f t="shared" si="13"/>
        <v>0</v>
      </c>
      <c r="O53" s="24"/>
      <c r="P53" s="52" t="e">
        <f>O53*(HLOOKUP("Fuel Oil",'Energy Conv Factors'!$A$6:$M$17,'General Info'!$E$7,FALSE))/1000</f>
        <v>#VALUE!</v>
      </c>
      <c r="Q53" s="51"/>
      <c r="R53" s="52">
        <f t="shared" si="14"/>
        <v>0</v>
      </c>
      <c r="S53" s="24"/>
      <c r="T53" s="52" t="e">
        <f>S53*(HLOOKUP("Diesel",'Energy Conv Factors'!$A$6:$M$17,'General Info'!$E$7,FALSE))/1000</f>
        <v>#VALUE!</v>
      </c>
      <c r="U53" s="51"/>
      <c r="V53" s="52">
        <f t="shared" si="15"/>
        <v>0</v>
      </c>
      <c r="W53" s="54"/>
      <c r="X53" s="52" t="e">
        <f t="shared" si="6"/>
        <v>#VALUE!</v>
      </c>
      <c r="Y53" s="51">
        <f t="shared" si="7"/>
        <v>0</v>
      </c>
      <c r="Z53" s="52" t="e">
        <f t="shared" si="8"/>
        <v>#N/A</v>
      </c>
      <c r="AA53" s="36" t="e">
        <f t="shared" si="11"/>
        <v>#DIV/0!</v>
      </c>
      <c r="AB53" s="37" t="e">
        <f t="shared" si="12"/>
        <v>#N/A</v>
      </c>
      <c r="AC53" s="65"/>
      <c r="AD53" s="65"/>
      <c r="AE53" s="65"/>
      <c r="AF53" s="65"/>
      <c r="AG53" s="65"/>
      <c r="AH53" s="65"/>
      <c r="AI53" s="65"/>
      <c r="AJ53" s="65"/>
      <c r="AK53" s="65"/>
      <c r="AL53" s="65"/>
      <c r="AM53" s="65"/>
    </row>
    <row r="54" spans="1:39" s="27" customFormat="1" ht="11.25">
      <c r="A54" s="65"/>
      <c r="B54" s="28"/>
      <c r="C54" s="24"/>
      <c r="D54" s="52" t="e">
        <f>C54*(HLOOKUP("Electricity",'Energy Conv Factors'!$A$6:$M$17,'General Info'!$E$7,FALSE))/1000</f>
        <v>#VALUE!</v>
      </c>
      <c r="E54" s="51"/>
      <c r="F54" s="52" t="e">
        <f>C54*(HLOOKUP('General Info'!$C$6,'Electricity factors'!$B$3:$N$26,'General Info'!$D$7,TRUE))/1000</f>
        <v>#N/A</v>
      </c>
      <c r="G54" s="24"/>
      <c r="H54" s="52" t="e">
        <f>G54*(HLOOKUP("Natural gas",'Energy Conv Factors'!$A$6:$M$17,'General Info'!$E$7,FALSE))/1000</f>
        <v>#VALUE!</v>
      </c>
      <c r="I54" s="51"/>
      <c r="J54" s="52" t="e">
        <f>G54*(HLOOKUP('General Info'!$C$6,'Natural gas'!B$1:N$2,2,FALSE))</f>
        <v>#N/A</v>
      </c>
      <c r="K54" s="24"/>
      <c r="L54" s="52">
        <f t="shared" si="5"/>
        <v>0</v>
      </c>
      <c r="M54" s="51"/>
      <c r="N54" s="52">
        <f t="shared" si="13"/>
        <v>0</v>
      </c>
      <c r="O54" s="24"/>
      <c r="P54" s="52" t="e">
        <f>O54*(HLOOKUP("Fuel Oil",'Energy Conv Factors'!$A$6:$M$17,'General Info'!$E$7,FALSE))/1000</f>
        <v>#VALUE!</v>
      </c>
      <c r="Q54" s="51"/>
      <c r="R54" s="52">
        <f t="shared" si="14"/>
        <v>0</v>
      </c>
      <c r="S54" s="24"/>
      <c r="T54" s="52" t="e">
        <f>S54*(HLOOKUP("Diesel",'Energy Conv Factors'!$A$6:$M$17,'General Info'!$E$7,FALSE))/1000</f>
        <v>#VALUE!</v>
      </c>
      <c r="U54" s="51"/>
      <c r="V54" s="52">
        <f t="shared" si="15"/>
        <v>0</v>
      </c>
      <c r="W54" s="54"/>
      <c r="X54" s="52" t="e">
        <f t="shared" si="6"/>
        <v>#VALUE!</v>
      </c>
      <c r="Y54" s="51">
        <f t="shared" si="7"/>
        <v>0</v>
      </c>
      <c r="Z54" s="52" t="e">
        <f t="shared" si="8"/>
        <v>#N/A</v>
      </c>
      <c r="AA54" s="36" t="e">
        <f t="shared" si="11"/>
        <v>#DIV/0!</v>
      </c>
      <c r="AB54" s="37" t="e">
        <f t="shared" si="12"/>
        <v>#N/A</v>
      </c>
      <c r="AC54" s="65"/>
      <c r="AD54" s="65"/>
      <c r="AE54" s="65"/>
      <c r="AF54" s="65"/>
      <c r="AG54" s="65"/>
      <c r="AH54" s="65"/>
      <c r="AI54" s="65"/>
      <c r="AJ54" s="65"/>
      <c r="AK54" s="65"/>
      <c r="AL54" s="65"/>
      <c r="AM54" s="65"/>
    </row>
    <row r="55" spans="1:39" s="27" customFormat="1" ht="11.25">
      <c r="A55" s="65"/>
      <c r="B55" s="28"/>
      <c r="C55" s="24"/>
      <c r="D55" s="52" t="e">
        <f>C55*(HLOOKUP("Electricity",'Energy Conv Factors'!$A$6:$M$17,'General Info'!$E$7,FALSE))/1000</f>
        <v>#VALUE!</v>
      </c>
      <c r="E55" s="51"/>
      <c r="F55" s="52" t="e">
        <f>C55*(HLOOKUP('General Info'!$C$6,'Electricity factors'!$B$3:$N$26,'General Info'!$D$7,TRUE))/1000</f>
        <v>#N/A</v>
      </c>
      <c r="G55" s="24"/>
      <c r="H55" s="52" t="e">
        <f>G55*(HLOOKUP("Natural gas",'Energy Conv Factors'!$A$6:$M$17,'General Info'!$E$7,FALSE))/1000</f>
        <v>#VALUE!</v>
      </c>
      <c r="I55" s="51"/>
      <c r="J55" s="52" t="e">
        <f>G55*(HLOOKUP('General Info'!$C$6,'Natural gas'!B$1:N$2,2,FALSE))</f>
        <v>#N/A</v>
      </c>
      <c r="K55" s="24"/>
      <c r="L55" s="52">
        <f t="shared" si="5"/>
        <v>0</v>
      </c>
      <c r="M55" s="51"/>
      <c r="N55" s="52">
        <f t="shared" si="13"/>
        <v>0</v>
      </c>
      <c r="O55" s="24"/>
      <c r="P55" s="52" t="e">
        <f>O55*(HLOOKUP("Fuel Oil",'Energy Conv Factors'!$A$6:$M$17,'General Info'!$E$7,FALSE))/1000</f>
        <v>#VALUE!</v>
      </c>
      <c r="Q55" s="51"/>
      <c r="R55" s="52">
        <f t="shared" si="14"/>
        <v>0</v>
      </c>
      <c r="S55" s="24"/>
      <c r="T55" s="52" t="e">
        <f>S55*(HLOOKUP("Diesel",'Energy Conv Factors'!$A$6:$M$17,'General Info'!$E$7,FALSE))/1000</f>
        <v>#VALUE!</v>
      </c>
      <c r="U55" s="51"/>
      <c r="V55" s="52">
        <f t="shared" si="15"/>
        <v>0</v>
      </c>
      <c r="W55" s="54"/>
      <c r="X55" s="52" t="e">
        <f t="shared" si="6"/>
        <v>#VALUE!</v>
      </c>
      <c r="Y55" s="51">
        <f t="shared" si="7"/>
        <v>0</v>
      </c>
      <c r="Z55" s="52" t="e">
        <f t="shared" si="8"/>
        <v>#N/A</v>
      </c>
      <c r="AA55" s="36" t="e">
        <f t="shared" si="11"/>
        <v>#DIV/0!</v>
      </c>
      <c r="AB55" s="37" t="e">
        <f t="shared" si="12"/>
        <v>#N/A</v>
      </c>
      <c r="AC55" s="65"/>
      <c r="AD55" s="65"/>
      <c r="AE55" s="65"/>
      <c r="AF55" s="65"/>
      <c r="AG55" s="65"/>
      <c r="AH55" s="65"/>
      <c r="AI55" s="65"/>
      <c r="AJ55" s="65"/>
      <c r="AK55" s="65"/>
      <c r="AL55" s="65"/>
      <c r="AM55" s="65"/>
    </row>
    <row r="56" spans="1:39" s="27" customFormat="1" ht="11.25">
      <c r="A56" s="65"/>
      <c r="B56" s="28"/>
      <c r="C56" s="24"/>
      <c r="D56" s="52" t="e">
        <f>C56*(HLOOKUP("Electricity",'Energy Conv Factors'!$A$6:$M$17,'General Info'!$E$7,FALSE))/1000</f>
        <v>#VALUE!</v>
      </c>
      <c r="E56" s="51"/>
      <c r="F56" s="52" t="e">
        <f>C56*(HLOOKUP('General Info'!$C$6,'Electricity factors'!$B$3:$N$26,'General Info'!$D$7,TRUE))/1000</f>
        <v>#N/A</v>
      </c>
      <c r="G56" s="24"/>
      <c r="H56" s="52" t="e">
        <f>G56*(HLOOKUP("Natural gas",'Energy Conv Factors'!$A$6:$M$17,'General Info'!$E$7,FALSE))/1000</f>
        <v>#VALUE!</v>
      </c>
      <c r="I56" s="51"/>
      <c r="J56" s="52" t="e">
        <f>G56*(HLOOKUP('General Info'!$C$6,'Natural gas'!B$1:N$2,2,FALSE))</f>
        <v>#N/A</v>
      </c>
      <c r="K56" s="24"/>
      <c r="L56" s="52">
        <f t="shared" si="5"/>
        <v>0</v>
      </c>
      <c r="M56" s="51"/>
      <c r="N56" s="52">
        <f t="shared" si="13"/>
        <v>0</v>
      </c>
      <c r="O56" s="24"/>
      <c r="P56" s="52" t="e">
        <f>O56*(HLOOKUP("Fuel Oil",'Energy Conv Factors'!$A$6:$M$17,'General Info'!$E$7,FALSE))/1000</f>
        <v>#VALUE!</v>
      </c>
      <c r="Q56" s="51"/>
      <c r="R56" s="52">
        <f t="shared" si="14"/>
        <v>0</v>
      </c>
      <c r="S56" s="24"/>
      <c r="T56" s="52" t="e">
        <f>S56*(HLOOKUP("Diesel",'Energy Conv Factors'!$A$6:$M$17,'General Info'!$E$7,FALSE))/1000</f>
        <v>#VALUE!</v>
      </c>
      <c r="U56" s="51"/>
      <c r="V56" s="52">
        <f t="shared" si="15"/>
        <v>0</v>
      </c>
      <c r="W56" s="54"/>
      <c r="X56" s="52" t="e">
        <f t="shared" si="6"/>
        <v>#VALUE!</v>
      </c>
      <c r="Y56" s="51">
        <f t="shared" si="7"/>
        <v>0</v>
      </c>
      <c r="Z56" s="52" t="e">
        <f t="shared" si="8"/>
        <v>#N/A</v>
      </c>
      <c r="AA56" s="36" t="e">
        <f t="shared" si="11"/>
        <v>#DIV/0!</v>
      </c>
      <c r="AB56" s="37" t="e">
        <f t="shared" si="12"/>
        <v>#N/A</v>
      </c>
      <c r="AC56" s="65"/>
      <c r="AD56" s="65"/>
      <c r="AE56" s="65"/>
      <c r="AF56" s="65"/>
      <c r="AG56" s="65"/>
      <c r="AH56" s="65"/>
      <c r="AI56" s="65"/>
      <c r="AJ56" s="65"/>
      <c r="AK56" s="65"/>
      <c r="AL56" s="65"/>
      <c r="AM56" s="65"/>
    </row>
    <row r="57" spans="1:39" s="27" customFormat="1" ht="11.25">
      <c r="A57" s="65"/>
      <c r="B57" s="28"/>
      <c r="C57" s="24"/>
      <c r="D57" s="52" t="e">
        <f>C57*(HLOOKUP("Electricity",'Energy Conv Factors'!$A$6:$M$17,'General Info'!$E$7,FALSE))/1000</f>
        <v>#VALUE!</v>
      </c>
      <c r="E57" s="51"/>
      <c r="F57" s="52" t="e">
        <f>C57*(HLOOKUP('General Info'!$C$6,'Electricity factors'!$B$3:$N$26,'General Info'!$D$7,TRUE))/1000</f>
        <v>#N/A</v>
      </c>
      <c r="G57" s="24"/>
      <c r="H57" s="52" t="e">
        <f>G57*(HLOOKUP("Natural gas",'Energy Conv Factors'!$A$6:$M$17,'General Info'!$E$7,FALSE))/1000</f>
        <v>#VALUE!</v>
      </c>
      <c r="I57" s="51"/>
      <c r="J57" s="52" t="e">
        <f>G57*(HLOOKUP('General Info'!$C$6,'Natural gas'!B$1:N$2,2,FALSE))</f>
        <v>#N/A</v>
      </c>
      <c r="K57" s="24"/>
      <c r="L57" s="52">
        <f t="shared" si="5"/>
        <v>0</v>
      </c>
      <c r="M57" s="51"/>
      <c r="N57" s="52">
        <f t="shared" si="13"/>
        <v>0</v>
      </c>
      <c r="O57" s="24"/>
      <c r="P57" s="52" t="e">
        <f>O57*(HLOOKUP("Fuel Oil",'Energy Conv Factors'!$A$6:$M$17,'General Info'!$E$7,FALSE))/1000</f>
        <v>#VALUE!</v>
      </c>
      <c r="Q57" s="51"/>
      <c r="R57" s="52">
        <f t="shared" si="14"/>
        <v>0</v>
      </c>
      <c r="S57" s="24"/>
      <c r="T57" s="52" t="e">
        <f>S57*(HLOOKUP("Diesel",'Energy Conv Factors'!$A$6:$M$17,'General Info'!$E$7,FALSE))/1000</f>
        <v>#VALUE!</v>
      </c>
      <c r="U57" s="51"/>
      <c r="V57" s="52">
        <f t="shared" si="15"/>
        <v>0</v>
      </c>
      <c r="W57" s="54"/>
      <c r="X57" s="52" t="e">
        <f t="shared" si="6"/>
        <v>#VALUE!</v>
      </c>
      <c r="Y57" s="51">
        <f t="shared" si="7"/>
        <v>0</v>
      </c>
      <c r="Z57" s="52" t="e">
        <f t="shared" si="8"/>
        <v>#N/A</v>
      </c>
      <c r="AA57" s="36" t="e">
        <f t="shared" si="11"/>
        <v>#DIV/0!</v>
      </c>
      <c r="AB57" s="37" t="e">
        <f t="shared" si="12"/>
        <v>#N/A</v>
      </c>
      <c r="AC57" s="65"/>
      <c r="AD57" s="65"/>
      <c r="AE57" s="65"/>
      <c r="AF57" s="65"/>
      <c r="AG57" s="65"/>
      <c r="AH57" s="65"/>
      <c r="AI57" s="65"/>
      <c r="AJ57" s="65"/>
      <c r="AK57" s="65"/>
      <c r="AL57" s="65"/>
      <c r="AM57" s="65"/>
    </row>
    <row r="58" spans="1:39" s="27" customFormat="1" ht="11.25">
      <c r="A58" s="65"/>
      <c r="B58" s="28"/>
      <c r="C58" s="24"/>
      <c r="D58" s="52" t="e">
        <f>C58*(HLOOKUP("Electricity",'Energy Conv Factors'!$A$6:$M$17,'General Info'!$E$7,FALSE))/1000</f>
        <v>#VALUE!</v>
      </c>
      <c r="E58" s="51"/>
      <c r="F58" s="52" t="e">
        <f>C58*(HLOOKUP('General Info'!$C$6,'Electricity factors'!$B$3:$N$26,'General Info'!$D$7,TRUE))/1000</f>
        <v>#N/A</v>
      </c>
      <c r="G58" s="24"/>
      <c r="H58" s="52" t="e">
        <f>G58*(HLOOKUP("Natural gas",'Energy Conv Factors'!$A$6:$M$17,'General Info'!$E$7,FALSE))/1000</f>
        <v>#VALUE!</v>
      </c>
      <c r="I58" s="51"/>
      <c r="J58" s="52" t="e">
        <f>G58*(HLOOKUP('General Info'!$C$6,'Natural gas'!B$1:N$2,2,FALSE))</f>
        <v>#N/A</v>
      </c>
      <c r="K58" s="24"/>
      <c r="L58" s="52">
        <f t="shared" si="5"/>
        <v>0</v>
      </c>
      <c r="M58" s="51"/>
      <c r="N58" s="52">
        <f t="shared" si="13"/>
        <v>0</v>
      </c>
      <c r="O58" s="24"/>
      <c r="P58" s="52" t="e">
        <f>O58*(HLOOKUP("Fuel Oil",'Energy Conv Factors'!$A$6:$M$17,'General Info'!$E$7,FALSE))/1000</f>
        <v>#VALUE!</v>
      </c>
      <c r="Q58" s="51"/>
      <c r="R58" s="52">
        <f t="shared" si="14"/>
        <v>0</v>
      </c>
      <c r="S58" s="24"/>
      <c r="T58" s="52" t="e">
        <f>S58*(HLOOKUP("Diesel",'Energy Conv Factors'!$A$6:$M$17,'General Info'!$E$7,FALSE))/1000</f>
        <v>#VALUE!</v>
      </c>
      <c r="U58" s="51"/>
      <c r="V58" s="52">
        <f t="shared" si="15"/>
        <v>0</v>
      </c>
      <c r="W58" s="54"/>
      <c r="X58" s="52" t="e">
        <f t="shared" si="6"/>
        <v>#VALUE!</v>
      </c>
      <c r="Y58" s="51">
        <f t="shared" si="7"/>
        <v>0</v>
      </c>
      <c r="Z58" s="52" t="e">
        <f t="shared" si="8"/>
        <v>#N/A</v>
      </c>
      <c r="AA58" s="36" t="e">
        <f t="shared" si="11"/>
        <v>#DIV/0!</v>
      </c>
      <c r="AB58" s="37" t="e">
        <f t="shared" si="12"/>
        <v>#N/A</v>
      </c>
      <c r="AC58" s="65"/>
      <c r="AD58" s="65"/>
      <c r="AE58" s="65"/>
      <c r="AF58" s="65"/>
      <c r="AG58" s="65"/>
      <c r="AH58" s="65"/>
      <c r="AI58" s="65"/>
      <c r="AJ58" s="65"/>
      <c r="AK58" s="65"/>
      <c r="AL58" s="65"/>
      <c r="AM58" s="65"/>
    </row>
    <row r="59" spans="1:39" s="27" customFormat="1" ht="11.25">
      <c r="A59" s="65"/>
      <c r="B59" s="28"/>
      <c r="C59" s="24"/>
      <c r="D59" s="52" t="e">
        <f>C59*(HLOOKUP("Electricity",'Energy Conv Factors'!$A$6:$M$17,'General Info'!$E$7,FALSE))/1000</f>
        <v>#VALUE!</v>
      </c>
      <c r="E59" s="51"/>
      <c r="F59" s="52" t="e">
        <f>C59*(HLOOKUP('General Info'!$C$6,'Electricity factors'!$B$3:$N$26,'General Info'!$D$7,TRUE))/1000</f>
        <v>#N/A</v>
      </c>
      <c r="G59" s="24"/>
      <c r="H59" s="52" t="e">
        <f>G59*(HLOOKUP("Natural gas",'Energy Conv Factors'!$A$6:$M$17,'General Info'!$E$7,FALSE))/1000</f>
        <v>#VALUE!</v>
      </c>
      <c r="I59" s="51"/>
      <c r="J59" s="52" t="e">
        <f>G59*(HLOOKUP('General Info'!$C$6,'Natural gas'!B$1:N$2,2,FALSE))</f>
        <v>#N/A</v>
      </c>
      <c r="K59" s="24"/>
      <c r="L59" s="52">
        <f t="shared" si="5"/>
        <v>0</v>
      </c>
      <c r="M59" s="51"/>
      <c r="N59" s="52">
        <f t="shared" si="13"/>
        <v>0</v>
      </c>
      <c r="O59" s="24"/>
      <c r="P59" s="52" t="e">
        <f>O59*(HLOOKUP("Fuel Oil",'Energy Conv Factors'!$A$6:$M$17,'General Info'!$E$7,FALSE))/1000</f>
        <v>#VALUE!</v>
      </c>
      <c r="Q59" s="51"/>
      <c r="R59" s="52">
        <f t="shared" si="14"/>
        <v>0</v>
      </c>
      <c r="S59" s="24"/>
      <c r="T59" s="52" t="e">
        <f>S59*(HLOOKUP("Diesel",'Energy Conv Factors'!$A$6:$M$17,'General Info'!$E$7,FALSE))/1000</f>
        <v>#VALUE!</v>
      </c>
      <c r="U59" s="51"/>
      <c r="V59" s="52">
        <f t="shared" si="15"/>
        <v>0</v>
      </c>
      <c r="W59" s="54"/>
      <c r="X59" s="52" t="e">
        <f t="shared" si="6"/>
        <v>#VALUE!</v>
      </c>
      <c r="Y59" s="51">
        <f t="shared" si="7"/>
        <v>0</v>
      </c>
      <c r="Z59" s="52" t="e">
        <f t="shared" si="8"/>
        <v>#N/A</v>
      </c>
      <c r="AA59" s="36" t="e">
        <f t="shared" si="11"/>
        <v>#DIV/0!</v>
      </c>
      <c r="AB59" s="37" t="e">
        <f t="shared" si="12"/>
        <v>#N/A</v>
      </c>
      <c r="AC59" s="65"/>
      <c r="AD59" s="65"/>
      <c r="AE59" s="65"/>
      <c r="AF59" s="65"/>
      <c r="AG59" s="65"/>
      <c r="AH59" s="65"/>
      <c r="AI59" s="65"/>
      <c r="AJ59" s="65"/>
      <c r="AK59" s="65"/>
      <c r="AL59" s="65"/>
      <c r="AM59" s="65"/>
    </row>
    <row r="60" spans="1:39" s="14" customFormat="1" ht="12.75" thickBot="1">
      <c r="A60" s="63"/>
      <c r="B60" s="19" t="s">
        <v>62</v>
      </c>
      <c r="C60" s="20">
        <f>SUM(C10:C59)</f>
        <v>0</v>
      </c>
      <c r="D60" s="20" t="e">
        <f>SUM(D10:D59)</f>
        <v>#VALUE!</v>
      </c>
      <c r="E60" s="21">
        <f>SUM(E10:E59)</f>
        <v>0</v>
      </c>
      <c r="F60" s="21" t="e">
        <f>SUM(F10:F59)</f>
        <v>#N/A</v>
      </c>
      <c r="G60" s="21">
        <f aca="true" t="shared" si="16" ref="G60:X60">SUM(G10:G59)</f>
        <v>0</v>
      </c>
      <c r="H60" s="21" t="e">
        <f t="shared" si="16"/>
        <v>#VALUE!</v>
      </c>
      <c r="I60" s="21">
        <f t="shared" si="16"/>
        <v>0</v>
      </c>
      <c r="J60" s="21" t="e">
        <f t="shared" si="16"/>
        <v>#N/A</v>
      </c>
      <c r="K60" s="21">
        <f>SUM(K10:K59)</f>
        <v>0</v>
      </c>
      <c r="L60" s="21">
        <f>SUM(L10:L59)</f>
        <v>0</v>
      </c>
      <c r="M60" s="21">
        <f>SUM(M10:M59)</f>
        <v>0</v>
      </c>
      <c r="N60" s="21">
        <f>SUM(N10:N59)</f>
        <v>0</v>
      </c>
      <c r="O60" s="21">
        <f t="shared" si="16"/>
        <v>0</v>
      </c>
      <c r="P60" s="21" t="e">
        <f t="shared" si="16"/>
        <v>#VALUE!</v>
      </c>
      <c r="Q60" s="21">
        <f t="shared" si="16"/>
        <v>0</v>
      </c>
      <c r="R60" s="21">
        <f t="shared" si="16"/>
        <v>0</v>
      </c>
      <c r="S60" s="21">
        <f t="shared" si="16"/>
        <v>0</v>
      </c>
      <c r="T60" s="21" t="e">
        <f t="shared" si="16"/>
        <v>#VALUE!</v>
      </c>
      <c r="U60" s="21">
        <f t="shared" si="16"/>
        <v>0</v>
      </c>
      <c r="V60" s="21">
        <f t="shared" si="16"/>
        <v>0</v>
      </c>
      <c r="W60" s="21">
        <f t="shared" si="16"/>
        <v>0</v>
      </c>
      <c r="X60" s="21" t="e">
        <f t="shared" si="16"/>
        <v>#VALUE!</v>
      </c>
      <c r="Y60" s="21">
        <f>SUM(Y10:Y59)</f>
        <v>0</v>
      </c>
      <c r="Z60" s="21" t="e">
        <f>SUM(Z10:Z59)</f>
        <v>#N/A</v>
      </c>
      <c r="AA60" s="44" t="e">
        <f t="shared" si="11"/>
        <v>#DIV/0!</v>
      </c>
      <c r="AB60" s="45" t="e">
        <f t="shared" si="12"/>
        <v>#N/A</v>
      </c>
      <c r="AC60" s="63"/>
      <c r="AD60" s="63"/>
      <c r="AE60" s="63"/>
      <c r="AF60" s="63"/>
      <c r="AG60" s="63"/>
      <c r="AH60" s="63"/>
      <c r="AI60" s="63"/>
      <c r="AJ60" s="63"/>
      <c r="AK60" s="63"/>
      <c r="AL60" s="63"/>
      <c r="AM60" s="63"/>
    </row>
    <row r="61" spans="1:39" ht="12.75">
      <c r="A61" s="58"/>
      <c r="B61" s="58"/>
      <c r="C61" s="66"/>
      <c r="D61" s="66"/>
      <c r="E61" s="66"/>
      <c r="F61" s="66"/>
      <c r="G61" s="66"/>
      <c r="H61" s="66"/>
      <c r="I61" s="66"/>
      <c r="J61" s="66"/>
      <c r="K61" s="66"/>
      <c r="L61" s="66"/>
      <c r="M61" s="66"/>
      <c r="N61" s="66"/>
      <c r="O61" s="66"/>
      <c r="P61" s="66"/>
      <c r="Q61" s="66"/>
      <c r="R61" s="66"/>
      <c r="S61" s="66"/>
      <c r="T61" s="66"/>
      <c r="U61" s="66"/>
      <c r="V61" s="66"/>
      <c r="W61" s="66"/>
      <c r="X61" s="66"/>
      <c r="Y61" s="66"/>
      <c r="Z61" s="66"/>
      <c r="AA61" s="67"/>
      <c r="AB61" s="67"/>
      <c r="AC61" s="58"/>
      <c r="AD61" s="58"/>
      <c r="AE61" s="58"/>
      <c r="AF61" s="58"/>
      <c r="AG61" s="58"/>
      <c r="AH61" s="58"/>
      <c r="AI61" s="58"/>
      <c r="AJ61" s="58"/>
      <c r="AK61" s="58"/>
      <c r="AL61" s="58"/>
      <c r="AM61" s="58"/>
    </row>
    <row r="62" spans="1:39" ht="12.75">
      <c r="A62" s="58"/>
      <c r="B62" s="58"/>
      <c r="C62" s="66"/>
      <c r="D62" s="66"/>
      <c r="E62" s="66"/>
      <c r="F62" s="66"/>
      <c r="G62" s="66"/>
      <c r="H62" s="66"/>
      <c r="I62" s="66"/>
      <c r="J62" s="66"/>
      <c r="K62" s="66"/>
      <c r="L62" s="66"/>
      <c r="M62" s="66"/>
      <c r="N62" s="66"/>
      <c r="O62" s="66"/>
      <c r="P62" s="66"/>
      <c r="Q62" s="66"/>
      <c r="R62" s="66"/>
      <c r="S62" s="66"/>
      <c r="T62" s="66"/>
      <c r="U62" s="66"/>
      <c r="V62" s="66"/>
      <c r="W62" s="66"/>
      <c r="X62" s="66"/>
      <c r="Y62" s="66"/>
      <c r="Z62" s="66"/>
      <c r="AA62" s="67"/>
      <c r="AB62" s="67"/>
      <c r="AC62" s="58"/>
      <c r="AD62" s="58"/>
      <c r="AE62" s="58"/>
      <c r="AF62" s="58"/>
      <c r="AG62" s="58"/>
      <c r="AH62" s="58"/>
      <c r="AI62" s="58"/>
      <c r="AJ62" s="58"/>
      <c r="AK62" s="58"/>
      <c r="AL62" s="58"/>
      <c r="AM62" s="58"/>
    </row>
    <row r="63" spans="1:39" ht="12.75">
      <c r="A63" s="58"/>
      <c r="B63" s="58"/>
      <c r="C63" s="66"/>
      <c r="D63" s="66"/>
      <c r="E63" s="66"/>
      <c r="F63" s="66"/>
      <c r="G63" s="66"/>
      <c r="H63" s="66"/>
      <c r="I63" s="66"/>
      <c r="J63" s="66"/>
      <c r="K63" s="66"/>
      <c r="L63" s="66"/>
      <c r="M63" s="66"/>
      <c r="N63" s="66"/>
      <c r="O63" s="66"/>
      <c r="P63" s="66"/>
      <c r="Q63" s="66"/>
      <c r="R63" s="66"/>
      <c r="S63" s="66"/>
      <c r="T63" s="66"/>
      <c r="U63" s="66"/>
      <c r="V63" s="66"/>
      <c r="W63" s="66"/>
      <c r="X63" s="66"/>
      <c r="Y63" s="66"/>
      <c r="Z63" s="66"/>
      <c r="AA63" s="67"/>
      <c r="AB63" s="67"/>
      <c r="AC63" s="58"/>
      <c r="AD63" s="58"/>
      <c r="AE63" s="58"/>
      <c r="AF63" s="58"/>
      <c r="AG63" s="58"/>
      <c r="AH63" s="58"/>
      <c r="AI63" s="58"/>
      <c r="AJ63" s="58"/>
      <c r="AK63" s="58"/>
      <c r="AL63" s="58"/>
      <c r="AM63" s="58"/>
    </row>
    <row r="64" spans="1:39" ht="12.75">
      <c r="A64" s="58"/>
      <c r="B64" s="58"/>
      <c r="C64" s="66"/>
      <c r="D64" s="66"/>
      <c r="E64" s="66"/>
      <c r="F64" s="66"/>
      <c r="G64" s="66"/>
      <c r="H64" s="66"/>
      <c r="I64" s="66"/>
      <c r="J64" s="66"/>
      <c r="K64" s="66"/>
      <c r="L64" s="66"/>
      <c r="M64" s="66"/>
      <c r="N64" s="66"/>
      <c r="O64" s="66"/>
      <c r="P64" s="66"/>
      <c r="Q64" s="66"/>
      <c r="R64" s="66"/>
      <c r="S64" s="66"/>
      <c r="T64" s="66"/>
      <c r="U64" s="66"/>
      <c r="V64" s="66"/>
      <c r="W64" s="66"/>
      <c r="X64" s="66"/>
      <c r="Y64" s="66"/>
      <c r="Z64" s="66"/>
      <c r="AA64" s="67"/>
      <c r="AB64" s="67"/>
      <c r="AC64" s="58"/>
      <c r="AD64" s="58"/>
      <c r="AE64" s="58"/>
      <c r="AF64" s="58"/>
      <c r="AG64" s="58"/>
      <c r="AH64" s="58"/>
      <c r="AI64" s="58"/>
      <c r="AJ64" s="58"/>
      <c r="AK64" s="58"/>
      <c r="AL64" s="58"/>
      <c r="AM64" s="58"/>
    </row>
    <row r="65" spans="1:39" ht="12.75">
      <c r="A65" s="58"/>
      <c r="B65" s="58"/>
      <c r="C65" s="66"/>
      <c r="D65" s="66"/>
      <c r="E65" s="66"/>
      <c r="F65" s="66"/>
      <c r="G65" s="66"/>
      <c r="H65" s="66"/>
      <c r="I65" s="66"/>
      <c r="J65" s="66"/>
      <c r="K65" s="66"/>
      <c r="L65" s="66"/>
      <c r="M65" s="66"/>
      <c r="N65" s="66"/>
      <c r="O65" s="66"/>
      <c r="P65" s="66"/>
      <c r="Q65" s="66"/>
      <c r="R65" s="66"/>
      <c r="S65" s="66"/>
      <c r="T65" s="66"/>
      <c r="U65" s="66"/>
      <c r="V65" s="66"/>
      <c r="W65" s="66"/>
      <c r="X65" s="66"/>
      <c r="Y65" s="66"/>
      <c r="Z65" s="66"/>
      <c r="AA65" s="67"/>
      <c r="AB65" s="67"/>
      <c r="AC65" s="58"/>
      <c r="AD65" s="58"/>
      <c r="AE65" s="58"/>
      <c r="AF65" s="58"/>
      <c r="AG65" s="58"/>
      <c r="AH65" s="58"/>
      <c r="AI65" s="58"/>
      <c r="AJ65" s="58"/>
      <c r="AK65" s="58"/>
      <c r="AL65" s="58"/>
      <c r="AM65" s="58"/>
    </row>
    <row r="66" spans="1:39" ht="12.75">
      <c r="A66" s="58"/>
      <c r="B66" s="58"/>
      <c r="C66" s="66"/>
      <c r="D66" s="66"/>
      <c r="E66" s="66"/>
      <c r="F66" s="66"/>
      <c r="G66" s="66"/>
      <c r="H66" s="66"/>
      <c r="I66" s="66"/>
      <c r="J66" s="66"/>
      <c r="K66" s="66"/>
      <c r="L66" s="66"/>
      <c r="M66" s="66"/>
      <c r="N66" s="66"/>
      <c r="O66" s="66"/>
      <c r="P66" s="66"/>
      <c r="Q66" s="66"/>
      <c r="R66" s="66"/>
      <c r="S66" s="66"/>
      <c r="T66" s="66"/>
      <c r="U66" s="66"/>
      <c r="V66" s="66"/>
      <c r="W66" s="66"/>
      <c r="X66" s="66"/>
      <c r="Y66" s="66"/>
      <c r="Z66" s="66"/>
      <c r="AA66" s="67"/>
      <c r="AB66" s="67"/>
      <c r="AC66" s="58"/>
      <c r="AD66" s="58"/>
      <c r="AE66" s="58"/>
      <c r="AF66" s="58"/>
      <c r="AG66" s="58"/>
      <c r="AH66" s="58"/>
      <c r="AI66" s="58"/>
      <c r="AJ66" s="58"/>
      <c r="AK66" s="58"/>
      <c r="AL66" s="58"/>
      <c r="AM66" s="58"/>
    </row>
    <row r="67" spans="1:39" ht="12.75">
      <c r="A67" s="58"/>
      <c r="B67" s="58"/>
      <c r="C67" s="66"/>
      <c r="D67" s="66"/>
      <c r="E67" s="66"/>
      <c r="F67" s="66"/>
      <c r="G67" s="66"/>
      <c r="H67" s="66"/>
      <c r="I67" s="66"/>
      <c r="J67" s="66"/>
      <c r="K67" s="66"/>
      <c r="L67" s="66"/>
      <c r="M67" s="66"/>
      <c r="N67" s="66"/>
      <c r="O67" s="66"/>
      <c r="P67" s="66"/>
      <c r="Q67" s="66"/>
      <c r="R67" s="66"/>
      <c r="S67" s="66"/>
      <c r="T67" s="66"/>
      <c r="U67" s="66"/>
      <c r="V67" s="66"/>
      <c r="W67" s="66"/>
      <c r="X67" s="66"/>
      <c r="Y67" s="66"/>
      <c r="Z67" s="66"/>
      <c r="AA67" s="67"/>
      <c r="AB67" s="67"/>
      <c r="AC67" s="58"/>
      <c r="AD67" s="58"/>
      <c r="AE67" s="58"/>
      <c r="AF67" s="58"/>
      <c r="AG67" s="58"/>
      <c r="AH67" s="58"/>
      <c r="AI67" s="58"/>
      <c r="AJ67" s="58"/>
      <c r="AK67" s="58"/>
      <c r="AL67" s="58"/>
      <c r="AM67" s="58"/>
    </row>
    <row r="68" spans="1:39" ht="12.75">
      <c r="A68" s="58"/>
      <c r="B68" s="58"/>
      <c r="C68" s="66"/>
      <c r="D68" s="66"/>
      <c r="E68" s="66"/>
      <c r="F68" s="66"/>
      <c r="G68" s="66"/>
      <c r="H68" s="66"/>
      <c r="I68" s="66"/>
      <c r="J68" s="66"/>
      <c r="K68" s="66"/>
      <c r="L68" s="66"/>
      <c r="M68" s="66"/>
      <c r="N68" s="66"/>
      <c r="O68" s="66"/>
      <c r="P68" s="66"/>
      <c r="Q68" s="66"/>
      <c r="R68" s="66"/>
      <c r="S68" s="66"/>
      <c r="T68" s="66"/>
      <c r="U68" s="66"/>
      <c r="V68" s="66"/>
      <c r="W68" s="66"/>
      <c r="X68" s="66"/>
      <c r="Y68" s="66"/>
      <c r="Z68" s="66"/>
      <c r="AA68" s="67"/>
      <c r="AB68" s="67"/>
      <c r="AC68" s="58"/>
      <c r="AD68" s="58"/>
      <c r="AE68" s="58"/>
      <c r="AF68" s="58"/>
      <c r="AG68" s="58"/>
      <c r="AH68" s="58"/>
      <c r="AI68" s="58"/>
      <c r="AJ68" s="58"/>
      <c r="AK68" s="58"/>
      <c r="AL68" s="58"/>
      <c r="AM68" s="58"/>
    </row>
    <row r="69" spans="1:39" ht="12.75">
      <c r="A69" s="58"/>
      <c r="B69" s="58"/>
      <c r="C69" s="66"/>
      <c r="D69" s="66"/>
      <c r="E69" s="66"/>
      <c r="F69" s="66"/>
      <c r="G69" s="66"/>
      <c r="H69" s="66"/>
      <c r="I69" s="66"/>
      <c r="J69" s="66"/>
      <c r="K69" s="66"/>
      <c r="L69" s="66"/>
      <c r="M69" s="66"/>
      <c r="N69" s="66"/>
      <c r="O69" s="66"/>
      <c r="P69" s="66"/>
      <c r="Q69" s="66"/>
      <c r="R69" s="66"/>
      <c r="S69" s="66"/>
      <c r="T69" s="66"/>
      <c r="U69" s="66"/>
      <c r="V69" s="66"/>
      <c r="W69" s="66"/>
      <c r="X69" s="66"/>
      <c r="Y69" s="66"/>
      <c r="Z69" s="66"/>
      <c r="AA69" s="67"/>
      <c r="AB69" s="67"/>
      <c r="AC69" s="58"/>
      <c r="AD69" s="58"/>
      <c r="AE69" s="58"/>
      <c r="AF69" s="58"/>
      <c r="AG69" s="58"/>
      <c r="AH69" s="58"/>
      <c r="AI69" s="58"/>
      <c r="AJ69" s="58"/>
      <c r="AK69" s="58"/>
      <c r="AL69" s="58"/>
      <c r="AM69" s="58"/>
    </row>
    <row r="70" spans="1:39" ht="12.75">
      <c r="A70" s="58"/>
      <c r="B70" s="58"/>
      <c r="C70" s="66"/>
      <c r="D70" s="66"/>
      <c r="E70" s="66"/>
      <c r="F70" s="66"/>
      <c r="G70" s="66"/>
      <c r="H70" s="66"/>
      <c r="I70" s="66"/>
      <c r="J70" s="66"/>
      <c r="K70" s="66"/>
      <c r="L70" s="66"/>
      <c r="M70" s="66"/>
      <c r="N70" s="66"/>
      <c r="O70" s="66"/>
      <c r="P70" s="66"/>
      <c r="Q70" s="66"/>
      <c r="R70" s="66"/>
      <c r="S70" s="66"/>
      <c r="T70" s="66"/>
      <c r="U70" s="66"/>
      <c r="V70" s="66"/>
      <c r="W70" s="66"/>
      <c r="X70" s="66"/>
      <c r="Y70" s="66"/>
      <c r="Z70" s="66"/>
      <c r="AA70" s="67"/>
      <c r="AB70" s="67"/>
      <c r="AC70" s="58"/>
      <c r="AD70" s="58"/>
      <c r="AE70" s="58"/>
      <c r="AF70" s="58"/>
      <c r="AG70" s="58"/>
      <c r="AH70" s="58"/>
      <c r="AI70" s="58"/>
      <c r="AJ70" s="58"/>
      <c r="AK70" s="58"/>
      <c r="AL70" s="58"/>
      <c r="AM70" s="58"/>
    </row>
    <row r="71" spans="1:39" ht="12.75">
      <c r="A71" s="58"/>
      <c r="B71" s="58"/>
      <c r="C71" s="66"/>
      <c r="D71" s="66"/>
      <c r="E71" s="66"/>
      <c r="F71" s="66"/>
      <c r="G71" s="66"/>
      <c r="H71" s="66"/>
      <c r="I71" s="66"/>
      <c r="J71" s="66"/>
      <c r="K71" s="66"/>
      <c r="L71" s="66"/>
      <c r="M71" s="66"/>
      <c r="N71" s="66"/>
      <c r="O71" s="66"/>
      <c r="P71" s="66"/>
      <c r="Q71" s="66"/>
      <c r="R71" s="66"/>
      <c r="S71" s="66"/>
      <c r="T71" s="66"/>
      <c r="U71" s="66"/>
      <c r="V71" s="66"/>
      <c r="W71" s="66"/>
      <c r="X71" s="66"/>
      <c r="Y71" s="66"/>
      <c r="Z71" s="66"/>
      <c r="AA71" s="67"/>
      <c r="AB71" s="67"/>
      <c r="AC71" s="58"/>
      <c r="AD71" s="58"/>
      <c r="AE71" s="58"/>
      <c r="AF71" s="58"/>
      <c r="AG71" s="58"/>
      <c r="AH71" s="58"/>
      <c r="AI71" s="58"/>
      <c r="AJ71" s="58"/>
      <c r="AK71" s="58"/>
      <c r="AL71" s="58"/>
      <c r="AM71" s="58"/>
    </row>
    <row r="72" spans="1:39" ht="12.75">
      <c r="A72" s="58"/>
      <c r="B72" s="58"/>
      <c r="C72" s="66"/>
      <c r="D72" s="66"/>
      <c r="E72" s="66"/>
      <c r="F72" s="66"/>
      <c r="G72" s="66"/>
      <c r="H72" s="66"/>
      <c r="I72" s="66"/>
      <c r="J72" s="66"/>
      <c r="K72" s="66"/>
      <c r="L72" s="66"/>
      <c r="M72" s="66"/>
      <c r="N72" s="66"/>
      <c r="O72" s="66"/>
      <c r="P72" s="66"/>
      <c r="Q72" s="66"/>
      <c r="R72" s="66"/>
      <c r="S72" s="66"/>
      <c r="T72" s="66"/>
      <c r="U72" s="66"/>
      <c r="V72" s="66"/>
      <c r="W72" s="66"/>
      <c r="X72" s="66"/>
      <c r="Y72" s="66"/>
      <c r="Z72" s="66"/>
      <c r="AA72" s="67"/>
      <c r="AB72" s="67"/>
      <c r="AC72" s="58"/>
      <c r="AD72" s="58"/>
      <c r="AE72" s="58"/>
      <c r="AF72" s="58"/>
      <c r="AG72" s="58"/>
      <c r="AH72" s="58"/>
      <c r="AI72" s="58"/>
      <c r="AJ72" s="58"/>
      <c r="AK72" s="58"/>
      <c r="AL72" s="58"/>
      <c r="AM72" s="58"/>
    </row>
    <row r="73" spans="1:39" ht="12.75">
      <c r="A73" s="58"/>
      <c r="B73" s="58"/>
      <c r="C73" s="66"/>
      <c r="D73" s="66"/>
      <c r="E73" s="66"/>
      <c r="F73" s="66"/>
      <c r="G73" s="66"/>
      <c r="H73" s="66"/>
      <c r="I73" s="66"/>
      <c r="J73" s="66"/>
      <c r="K73" s="66"/>
      <c r="L73" s="66"/>
      <c r="M73" s="66"/>
      <c r="N73" s="66"/>
      <c r="O73" s="66"/>
      <c r="P73" s="66"/>
      <c r="Q73" s="66"/>
      <c r="R73" s="66"/>
      <c r="S73" s="66"/>
      <c r="T73" s="66"/>
      <c r="U73" s="66"/>
      <c r="V73" s="66"/>
      <c r="W73" s="66"/>
      <c r="X73" s="66"/>
      <c r="Y73" s="66"/>
      <c r="Z73" s="66"/>
      <c r="AA73" s="67"/>
      <c r="AB73" s="67"/>
      <c r="AC73" s="58"/>
      <c r="AD73" s="58"/>
      <c r="AE73" s="58"/>
      <c r="AF73" s="58"/>
      <c r="AG73" s="58"/>
      <c r="AH73" s="58"/>
      <c r="AI73" s="58"/>
      <c r="AJ73" s="58"/>
      <c r="AK73" s="58"/>
      <c r="AL73" s="58"/>
      <c r="AM73" s="58"/>
    </row>
    <row r="74" spans="1:39" ht="12.75">
      <c r="A74" s="58"/>
      <c r="B74" s="58"/>
      <c r="C74" s="66"/>
      <c r="D74" s="66"/>
      <c r="E74" s="66"/>
      <c r="F74" s="66"/>
      <c r="G74" s="66"/>
      <c r="H74" s="66"/>
      <c r="I74" s="66"/>
      <c r="J74" s="66"/>
      <c r="K74" s="66"/>
      <c r="L74" s="66"/>
      <c r="M74" s="66"/>
      <c r="N74" s="66"/>
      <c r="O74" s="66"/>
      <c r="P74" s="66"/>
      <c r="Q74" s="66"/>
      <c r="R74" s="66"/>
      <c r="S74" s="66"/>
      <c r="T74" s="66"/>
      <c r="U74" s="66"/>
      <c r="V74" s="66"/>
      <c r="W74" s="66"/>
      <c r="X74" s="66"/>
      <c r="Y74" s="66"/>
      <c r="Z74" s="66"/>
      <c r="AA74" s="67"/>
      <c r="AB74" s="67"/>
      <c r="AC74" s="58"/>
      <c r="AD74" s="58"/>
      <c r="AE74" s="58"/>
      <c r="AF74" s="58"/>
      <c r="AG74" s="58"/>
      <c r="AH74" s="58"/>
      <c r="AI74" s="58"/>
      <c r="AJ74" s="58"/>
      <c r="AK74" s="58"/>
      <c r="AL74" s="58"/>
      <c r="AM74" s="58"/>
    </row>
    <row r="75" spans="1:39" ht="12.75">
      <c r="A75" s="58"/>
      <c r="B75" s="58"/>
      <c r="C75" s="66"/>
      <c r="D75" s="66"/>
      <c r="E75" s="66"/>
      <c r="F75" s="66"/>
      <c r="G75" s="66"/>
      <c r="H75" s="66"/>
      <c r="I75" s="66"/>
      <c r="J75" s="66"/>
      <c r="K75" s="66"/>
      <c r="L75" s="66"/>
      <c r="M75" s="66"/>
      <c r="N75" s="66"/>
      <c r="O75" s="66"/>
      <c r="P75" s="66"/>
      <c r="Q75" s="66"/>
      <c r="R75" s="66"/>
      <c r="S75" s="66"/>
      <c r="T75" s="66"/>
      <c r="U75" s="66"/>
      <c r="V75" s="66"/>
      <c r="W75" s="66"/>
      <c r="X75" s="66"/>
      <c r="Y75" s="66"/>
      <c r="Z75" s="66"/>
      <c r="AA75" s="67"/>
      <c r="AB75" s="67"/>
      <c r="AC75" s="58"/>
      <c r="AD75" s="58"/>
      <c r="AE75" s="58"/>
      <c r="AF75" s="58"/>
      <c r="AG75" s="58"/>
      <c r="AH75" s="58"/>
      <c r="AI75" s="58"/>
      <c r="AJ75" s="58"/>
      <c r="AK75" s="58"/>
      <c r="AL75" s="58"/>
      <c r="AM75" s="58"/>
    </row>
    <row r="76" spans="1:39" ht="12.75">
      <c r="A76" s="58"/>
      <c r="B76" s="58"/>
      <c r="C76" s="66"/>
      <c r="D76" s="66"/>
      <c r="E76" s="66"/>
      <c r="F76" s="66"/>
      <c r="G76" s="66"/>
      <c r="H76" s="66"/>
      <c r="I76" s="66"/>
      <c r="J76" s="66"/>
      <c r="K76" s="66"/>
      <c r="L76" s="66"/>
      <c r="M76" s="66"/>
      <c r="N76" s="66"/>
      <c r="O76" s="66"/>
      <c r="P76" s="66"/>
      <c r="Q76" s="66"/>
      <c r="R76" s="66"/>
      <c r="S76" s="66"/>
      <c r="T76" s="66"/>
      <c r="U76" s="66"/>
      <c r="V76" s="66"/>
      <c r="W76" s="66"/>
      <c r="X76" s="66"/>
      <c r="Y76" s="66"/>
      <c r="Z76" s="66"/>
      <c r="AA76" s="67"/>
      <c r="AB76" s="67"/>
      <c r="AC76" s="58"/>
      <c r="AD76" s="58"/>
      <c r="AE76" s="58"/>
      <c r="AF76" s="58"/>
      <c r="AG76" s="58"/>
      <c r="AH76" s="58"/>
      <c r="AI76" s="58"/>
      <c r="AJ76" s="58"/>
      <c r="AK76" s="58"/>
      <c r="AL76" s="58"/>
      <c r="AM76" s="58"/>
    </row>
    <row r="77" spans="1:39" ht="12.75">
      <c r="A77" s="58"/>
      <c r="B77" s="58"/>
      <c r="C77" s="66"/>
      <c r="D77" s="66"/>
      <c r="E77" s="66"/>
      <c r="F77" s="66"/>
      <c r="G77" s="66"/>
      <c r="H77" s="66"/>
      <c r="I77" s="66"/>
      <c r="J77" s="66"/>
      <c r="K77" s="66"/>
      <c r="L77" s="66"/>
      <c r="M77" s="66"/>
      <c r="N77" s="66"/>
      <c r="O77" s="66"/>
      <c r="P77" s="66"/>
      <c r="Q77" s="66"/>
      <c r="R77" s="66"/>
      <c r="S77" s="66"/>
      <c r="T77" s="66"/>
      <c r="U77" s="66"/>
      <c r="V77" s="66"/>
      <c r="W77" s="66"/>
      <c r="X77" s="66"/>
      <c r="Y77" s="66"/>
      <c r="Z77" s="66"/>
      <c r="AA77" s="67"/>
      <c r="AB77" s="67"/>
      <c r="AC77" s="58"/>
      <c r="AD77" s="58"/>
      <c r="AE77" s="58"/>
      <c r="AF77" s="58"/>
      <c r="AG77" s="58"/>
      <c r="AH77" s="58"/>
      <c r="AI77" s="58"/>
      <c r="AJ77" s="58"/>
      <c r="AK77" s="58"/>
      <c r="AL77" s="58"/>
      <c r="AM77" s="58"/>
    </row>
    <row r="78" spans="1:39" ht="12.75">
      <c r="A78" s="58"/>
      <c r="B78" s="58"/>
      <c r="C78" s="66"/>
      <c r="D78" s="66"/>
      <c r="E78" s="66"/>
      <c r="F78" s="66"/>
      <c r="G78" s="66"/>
      <c r="H78" s="66"/>
      <c r="I78" s="66"/>
      <c r="J78" s="66"/>
      <c r="K78" s="66"/>
      <c r="L78" s="66"/>
      <c r="M78" s="66"/>
      <c r="N78" s="66"/>
      <c r="O78" s="66"/>
      <c r="P78" s="66"/>
      <c r="Q78" s="66"/>
      <c r="R78" s="66"/>
      <c r="S78" s="66"/>
      <c r="T78" s="66"/>
      <c r="U78" s="66"/>
      <c r="V78" s="66"/>
      <c r="W78" s="66"/>
      <c r="X78" s="66"/>
      <c r="Y78" s="66"/>
      <c r="Z78" s="66"/>
      <c r="AA78" s="67"/>
      <c r="AB78" s="67"/>
      <c r="AC78" s="58"/>
      <c r="AD78" s="58"/>
      <c r="AE78" s="58"/>
      <c r="AF78" s="58"/>
      <c r="AG78" s="58"/>
      <c r="AH78" s="58"/>
      <c r="AI78" s="58"/>
      <c r="AJ78" s="58"/>
      <c r="AK78" s="58"/>
      <c r="AL78" s="58"/>
      <c r="AM78" s="58"/>
    </row>
    <row r="79" spans="1:39" ht="12.75">
      <c r="A79" s="58"/>
      <c r="B79" s="58"/>
      <c r="C79" s="66"/>
      <c r="D79" s="66"/>
      <c r="E79" s="66"/>
      <c r="F79" s="66"/>
      <c r="G79" s="66"/>
      <c r="H79" s="66"/>
      <c r="I79" s="66"/>
      <c r="J79" s="66"/>
      <c r="K79" s="66"/>
      <c r="L79" s="66"/>
      <c r="M79" s="66"/>
      <c r="N79" s="66"/>
      <c r="O79" s="66"/>
      <c r="P79" s="66"/>
      <c r="Q79" s="66"/>
      <c r="R79" s="66"/>
      <c r="S79" s="66"/>
      <c r="T79" s="66"/>
      <c r="U79" s="66"/>
      <c r="V79" s="66"/>
      <c r="W79" s="66"/>
      <c r="X79" s="66"/>
      <c r="Y79" s="66"/>
      <c r="Z79" s="66"/>
      <c r="AA79" s="67"/>
      <c r="AB79" s="67"/>
      <c r="AC79" s="58"/>
      <c r="AD79" s="58"/>
      <c r="AE79" s="58"/>
      <c r="AF79" s="58"/>
      <c r="AG79" s="58"/>
      <c r="AH79" s="58"/>
      <c r="AI79" s="58"/>
      <c r="AJ79" s="58"/>
      <c r="AK79" s="58"/>
      <c r="AL79" s="58"/>
      <c r="AM79" s="58"/>
    </row>
    <row r="80" spans="1:39" ht="12.75">
      <c r="A80" s="58"/>
      <c r="B80" s="58"/>
      <c r="C80" s="66"/>
      <c r="D80" s="66"/>
      <c r="E80" s="66"/>
      <c r="F80" s="66"/>
      <c r="G80" s="66"/>
      <c r="H80" s="66"/>
      <c r="I80" s="66"/>
      <c r="J80" s="66"/>
      <c r="K80" s="66"/>
      <c r="L80" s="66"/>
      <c r="M80" s="66"/>
      <c r="N80" s="66"/>
      <c r="O80" s="66"/>
      <c r="P80" s="66"/>
      <c r="Q80" s="66"/>
      <c r="R80" s="66"/>
      <c r="S80" s="66"/>
      <c r="T80" s="66"/>
      <c r="U80" s="66"/>
      <c r="V80" s="66"/>
      <c r="W80" s="66"/>
      <c r="X80" s="66"/>
      <c r="Y80" s="66"/>
      <c r="Z80" s="66"/>
      <c r="AA80" s="67"/>
      <c r="AB80" s="67"/>
      <c r="AC80" s="58"/>
      <c r="AD80" s="58"/>
      <c r="AE80" s="58"/>
      <c r="AF80" s="58"/>
      <c r="AG80" s="58"/>
      <c r="AH80" s="58"/>
      <c r="AI80" s="58"/>
      <c r="AJ80" s="58"/>
      <c r="AK80" s="58"/>
      <c r="AL80" s="58"/>
      <c r="AM80" s="58"/>
    </row>
    <row r="81" spans="1:39" ht="12.75">
      <c r="A81" s="58"/>
      <c r="B81" s="58"/>
      <c r="C81" s="66"/>
      <c r="D81" s="66"/>
      <c r="E81" s="66"/>
      <c r="F81" s="66"/>
      <c r="G81" s="66"/>
      <c r="H81" s="66"/>
      <c r="I81" s="66"/>
      <c r="J81" s="66"/>
      <c r="K81" s="66"/>
      <c r="L81" s="66"/>
      <c r="M81" s="66"/>
      <c r="N81" s="66"/>
      <c r="O81" s="66"/>
      <c r="P81" s="66"/>
      <c r="Q81" s="66"/>
      <c r="R81" s="66"/>
      <c r="S81" s="66"/>
      <c r="T81" s="66"/>
      <c r="U81" s="66"/>
      <c r="V81" s="66"/>
      <c r="W81" s="66"/>
      <c r="X81" s="66"/>
      <c r="Y81" s="66"/>
      <c r="Z81" s="66"/>
      <c r="AA81" s="67"/>
      <c r="AB81" s="67"/>
      <c r="AC81" s="58"/>
      <c r="AD81" s="58"/>
      <c r="AE81" s="58"/>
      <c r="AF81" s="58"/>
      <c r="AG81" s="58"/>
      <c r="AH81" s="58"/>
      <c r="AI81" s="58"/>
      <c r="AJ81" s="58"/>
      <c r="AK81" s="58"/>
      <c r="AL81" s="58"/>
      <c r="AM81" s="58"/>
    </row>
    <row r="82" spans="1:39" ht="12.75">
      <c r="A82" s="58"/>
      <c r="B82" s="58"/>
      <c r="C82" s="66"/>
      <c r="D82" s="66"/>
      <c r="E82" s="66"/>
      <c r="F82" s="66"/>
      <c r="G82" s="66"/>
      <c r="H82" s="66"/>
      <c r="I82" s="66"/>
      <c r="J82" s="66"/>
      <c r="K82" s="66"/>
      <c r="L82" s="66"/>
      <c r="M82" s="66"/>
      <c r="N82" s="66"/>
      <c r="O82" s="66"/>
      <c r="P82" s="66"/>
      <c r="Q82" s="66"/>
      <c r="R82" s="66"/>
      <c r="S82" s="66"/>
      <c r="T82" s="66"/>
      <c r="U82" s="66"/>
      <c r="V82" s="66"/>
      <c r="W82" s="66"/>
      <c r="X82" s="66"/>
      <c r="Y82" s="66"/>
      <c r="Z82" s="66"/>
      <c r="AA82" s="67"/>
      <c r="AB82" s="67"/>
      <c r="AC82" s="58"/>
      <c r="AD82" s="58"/>
      <c r="AE82" s="58"/>
      <c r="AF82" s="58"/>
      <c r="AG82" s="58"/>
      <c r="AH82" s="58"/>
      <c r="AI82" s="58"/>
      <c r="AJ82" s="58"/>
      <c r="AK82" s="58"/>
      <c r="AL82" s="58"/>
      <c r="AM82" s="58"/>
    </row>
    <row r="83" spans="1:39" ht="12.75">
      <c r="A83" s="58"/>
      <c r="B83" s="58"/>
      <c r="C83" s="66"/>
      <c r="D83" s="66"/>
      <c r="E83" s="66"/>
      <c r="F83" s="66"/>
      <c r="G83" s="66"/>
      <c r="H83" s="66"/>
      <c r="I83" s="66"/>
      <c r="J83" s="66"/>
      <c r="K83" s="66"/>
      <c r="L83" s="66"/>
      <c r="M83" s="66"/>
      <c r="N83" s="66"/>
      <c r="O83" s="66"/>
      <c r="P83" s="66"/>
      <c r="Q83" s="66"/>
      <c r="R83" s="66"/>
      <c r="S83" s="66"/>
      <c r="T83" s="66"/>
      <c r="U83" s="66"/>
      <c r="V83" s="66"/>
      <c r="W83" s="66"/>
      <c r="X83" s="66"/>
      <c r="Y83" s="66"/>
      <c r="Z83" s="66"/>
      <c r="AA83" s="67"/>
      <c r="AB83" s="67"/>
      <c r="AC83" s="58"/>
      <c r="AD83" s="58"/>
      <c r="AE83" s="58"/>
      <c r="AF83" s="58"/>
      <c r="AG83" s="58"/>
      <c r="AH83" s="58"/>
      <c r="AI83" s="58"/>
      <c r="AJ83" s="58"/>
      <c r="AK83" s="58"/>
      <c r="AL83" s="58"/>
      <c r="AM83" s="58"/>
    </row>
    <row r="84" spans="1:39" ht="12.75">
      <c r="A84" s="58"/>
      <c r="B84" s="58"/>
      <c r="C84" s="66"/>
      <c r="D84" s="66"/>
      <c r="E84" s="66"/>
      <c r="F84" s="66"/>
      <c r="G84" s="66"/>
      <c r="H84" s="66"/>
      <c r="I84" s="66"/>
      <c r="J84" s="66"/>
      <c r="K84" s="66"/>
      <c r="L84" s="66"/>
      <c r="M84" s="66"/>
      <c r="N84" s="66"/>
      <c r="O84" s="66"/>
      <c r="P84" s="66"/>
      <c r="Q84" s="66"/>
      <c r="R84" s="66"/>
      <c r="S84" s="66"/>
      <c r="T84" s="66"/>
      <c r="U84" s="66"/>
      <c r="V84" s="66"/>
      <c r="W84" s="66"/>
      <c r="X84" s="66"/>
      <c r="Y84" s="66"/>
      <c r="Z84" s="66"/>
      <c r="AA84" s="67"/>
      <c r="AB84" s="67"/>
      <c r="AC84" s="58"/>
      <c r="AD84" s="58"/>
      <c r="AE84" s="58"/>
      <c r="AF84" s="58"/>
      <c r="AG84" s="58"/>
      <c r="AH84" s="58"/>
      <c r="AI84" s="58"/>
      <c r="AJ84" s="58"/>
      <c r="AK84" s="58"/>
      <c r="AL84" s="58"/>
      <c r="AM84" s="58"/>
    </row>
    <row r="85" spans="1:39" ht="12.75">
      <c r="A85" s="58"/>
      <c r="B85" s="58"/>
      <c r="C85" s="66"/>
      <c r="D85" s="66"/>
      <c r="E85" s="66"/>
      <c r="F85" s="66"/>
      <c r="G85" s="66"/>
      <c r="H85" s="66"/>
      <c r="I85" s="66"/>
      <c r="J85" s="66"/>
      <c r="K85" s="66"/>
      <c r="L85" s="66"/>
      <c r="M85" s="66"/>
      <c r="N85" s="66"/>
      <c r="O85" s="66"/>
      <c r="P85" s="66"/>
      <c r="Q85" s="66"/>
      <c r="R85" s="66"/>
      <c r="S85" s="66"/>
      <c r="T85" s="66"/>
      <c r="U85" s="66"/>
      <c r="V85" s="66"/>
      <c r="W85" s="66"/>
      <c r="X85" s="66"/>
      <c r="Y85" s="66"/>
      <c r="Z85" s="66"/>
      <c r="AA85" s="67"/>
      <c r="AB85" s="67"/>
      <c r="AC85" s="58"/>
      <c r="AD85" s="58"/>
      <c r="AE85" s="58"/>
      <c r="AF85" s="58"/>
      <c r="AG85" s="58"/>
      <c r="AH85" s="58"/>
      <c r="AI85" s="58"/>
      <c r="AJ85" s="58"/>
      <c r="AK85" s="58"/>
      <c r="AL85" s="58"/>
      <c r="AM85" s="58"/>
    </row>
    <row r="86" spans="1:39" ht="12.75">
      <c r="A86" s="58"/>
      <c r="B86" s="58"/>
      <c r="C86" s="66"/>
      <c r="D86" s="66"/>
      <c r="E86" s="66"/>
      <c r="F86" s="66"/>
      <c r="G86" s="66"/>
      <c r="H86" s="66"/>
      <c r="I86" s="66"/>
      <c r="J86" s="66"/>
      <c r="K86" s="66"/>
      <c r="L86" s="66"/>
      <c r="M86" s="66"/>
      <c r="N86" s="66"/>
      <c r="O86" s="66"/>
      <c r="P86" s="66"/>
      <c r="Q86" s="66"/>
      <c r="R86" s="66"/>
      <c r="S86" s="66"/>
      <c r="T86" s="66"/>
      <c r="U86" s="66"/>
      <c r="V86" s="66"/>
      <c r="W86" s="66"/>
      <c r="X86" s="66"/>
      <c r="Y86" s="66"/>
      <c r="Z86" s="66"/>
      <c r="AA86" s="67"/>
      <c r="AB86" s="67"/>
      <c r="AC86" s="58"/>
      <c r="AD86" s="58"/>
      <c r="AE86" s="58"/>
      <c r="AF86" s="58"/>
      <c r="AG86" s="58"/>
      <c r="AH86" s="58"/>
      <c r="AI86" s="58"/>
      <c r="AJ86" s="58"/>
      <c r="AK86" s="58"/>
      <c r="AL86" s="58"/>
      <c r="AM86" s="58"/>
    </row>
    <row r="87" spans="1:39" ht="12.75">
      <c r="A87" s="58"/>
      <c r="B87" s="58"/>
      <c r="C87" s="66"/>
      <c r="D87" s="66"/>
      <c r="E87" s="66"/>
      <c r="F87" s="66"/>
      <c r="G87" s="66"/>
      <c r="H87" s="66"/>
      <c r="I87" s="66"/>
      <c r="J87" s="66"/>
      <c r="K87" s="66"/>
      <c r="L87" s="66"/>
      <c r="M87" s="66"/>
      <c r="N87" s="66"/>
      <c r="O87" s="66"/>
      <c r="P87" s="66"/>
      <c r="Q87" s="66"/>
      <c r="R87" s="66"/>
      <c r="S87" s="66"/>
      <c r="T87" s="66"/>
      <c r="U87" s="66"/>
      <c r="V87" s="66"/>
      <c r="W87" s="66"/>
      <c r="X87" s="66"/>
      <c r="Y87" s="66"/>
      <c r="Z87" s="66"/>
      <c r="AA87" s="67"/>
      <c r="AB87" s="67"/>
      <c r="AC87" s="58"/>
      <c r="AD87" s="58"/>
      <c r="AE87" s="58"/>
      <c r="AF87" s="58"/>
      <c r="AG87" s="58"/>
      <c r="AH87" s="58"/>
      <c r="AI87" s="58"/>
      <c r="AJ87" s="58"/>
      <c r="AK87" s="58"/>
      <c r="AL87" s="58"/>
      <c r="AM87" s="58"/>
    </row>
    <row r="88" spans="1:39" ht="12.75">
      <c r="A88" s="58"/>
      <c r="B88" s="58"/>
      <c r="C88" s="66"/>
      <c r="D88" s="66"/>
      <c r="E88" s="66"/>
      <c r="F88" s="66"/>
      <c r="G88" s="66"/>
      <c r="H88" s="66"/>
      <c r="I88" s="66"/>
      <c r="J88" s="66"/>
      <c r="K88" s="66"/>
      <c r="L88" s="66"/>
      <c r="M88" s="66"/>
      <c r="N88" s="66"/>
      <c r="O88" s="66"/>
      <c r="P88" s="66"/>
      <c r="Q88" s="66"/>
      <c r="R88" s="66"/>
      <c r="S88" s="66"/>
      <c r="T88" s="66"/>
      <c r="U88" s="66"/>
      <c r="V88" s="66"/>
      <c r="W88" s="66"/>
      <c r="X88" s="66"/>
      <c r="Y88" s="66"/>
      <c r="Z88" s="66"/>
      <c r="AA88" s="67"/>
      <c r="AB88" s="67"/>
      <c r="AC88" s="58"/>
      <c r="AD88" s="58"/>
      <c r="AE88" s="58"/>
      <c r="AF88" s="58"/>
      <c r="AG88" s="58"/>
      <c r="AH88" s="58"/>
      <c r="AI88" s="58"/>
      <c r="AJ88" s="58"/>
      <c r="AK88" s="58"/>
      <c r="AL88" s="58"/>
      <c r="AM88" s="58"/>
    </row>
    <row r="89" spans="1:39" ht="12.75">
      <c r="A89" s="58"/>
      <c r="B89" s="58"/>
      <c r="C89" s="66"/>
      <c r="D89" s="66"/>
      <c r="E89" s="66"/>
      <c r="F89" s="66"/>
      <c r="G89" s="66"/>
      <c r="H89" s="66"/>
      <c r="I89" s="66"/>
      <c r="J89" s="66"/>
      <c r="K89" s="66"/>
      <c r="L89" s="66"/>
      <c r="M89" s="66"/>
      <c r="N89" s="66"/>
      <c r="O89" s="66"/>
      <c r="P89" s="66"/>
      <c r="Q89" s="66"/>
      <c r="R89" s="66"/>
      <c r="S89" s="66"/>
      <c r="T89" s="66"/>
      <c r="U89" s="66"/>
      <c r="V89" s="66"/>
      <c r="W89" s="66"/>
      <c r="X89" s="66"/>
      <c r="Y89" s="66"/>
      <c r="Z89" s="66"/>
      <c r="AA89" s="67"/>
      <c r="AB89" s="67"/>
      <c r="AC89" s="58"/>
      <c r="AD89" s="58"/>
      <c r="AE89" s="58"/>
      <c r="AF89" s="58"/>
      <c r="AG89" s="58"/>
      <c r="AH89" s="58"/>
      <c r="AI89" s="58"/>
      <c r="AJ89" s="58"/>
      <c r="AK89" s="58"/>
      <c r="AL89" s="58"/>
      <c r="AM89" s="58"/>
    </row>
    <row r="90" spans="1:39" ht="12.75">
      <c r="A90" s="58"/>
      <c r="B90" s="58"/>
      <c r="C90" s="66"/>
      <c r="D90" s="66"/>
      <c r="E90" s="66"/>
      <c r="F90" s="66"/>
      <c r="G90" s="66"/>
      <c r="H90" s="66"/>
      <c r="I90" s="66"/>
      <c r="J90" s="66"/>
      <c r="K90" s="66"/>
      <c r="L90" s="66"/>
      <c r="M90" s="66"/>
      <c r="N90" s="66"/>
      <c r="O90" s="66"/>
      <c r="P90" s="66"/>
      <c r="Q90" s="66"/>
      <c r="R90" s="66"/>
      <c r="S90" s="66"/>
      <c r="T90" s="66"/>
      <c r="U90" s="66"/>
      <c r="V90" s="66"/>
      <c r="W90" s="66"/>
      <c r="X90" s="66"/>
      <c r="Y90" s="66"/>
      <c r="Z90" s="66"/>
      <c r="AA90" s="67"/>
      <c r="AB90" s="67"/>
      <c r="AC90" s="58"/>
      <c r="AD90" s="58"/>
      <c r="AE90" s="58"/>
      <c r="AF90" s="58"/>
      <c r="AG90" s="58"/>
      <c r="AH90" s="58"/>
      <c r="AI90" s="58"/>
      <c r="AJ90" s="58"/>
      <c r="AK90" s="58"/>
      <c r="AL90" s="58"/>
      <c r="AM90" s="58"/>
    </row>
    <row r="91" spans="1:39" ht="12.75">
      <c r="A91" s="58"/>
      <c r="B91" s="58"/>
      <c r="C91" s="66"/>
      <c r="D91" s="66"/>
      <c r="E91" s="66"/>
      <c r="F91" s="66"/>
      <c r="G91" s="66"/>
      <c r="H91" s="66"/>
      <c r="I91" s="66"/>
      <c r="J91" s="66"/>
      <c r="K91" s="66"/>
      <c r="L91" s="66"/>
      <c r="M91" s="66"/>
      <c r="N91" s="66"/>
      <c r="O91" s="66"/>
      <c r="P91" s="66"/>
      <c r="Q91" s="66"/>
      <c r="R91" s="66"/>
      <c r="S91" s="66"/>
      <c r="T91" s="66"/>
      <c r="U91" s="66"/>
      <c r="V91" s="66"/>
      <c r="W91" s="66"/>
      <c r="X91" s="66"/>
      <c r="Y91" s="66"/>
      <c r="Z91" s="66"/>
      <c r="AA91" s="67"/>
      <c r="AB91" s="67"/>
      <c r="AC91" s="58"/>
      <c r="AD91" s="58"/>
      <c r="AE91" s="58"/>
      <c r="AF91" s="58"/>
      <c r="AG91" s="58"/>
      <c r="AH91" s="58"/>
      <c r="AI91" s="58"/>
      <c r="AJ91" s="58"/>
      <c r="AK91" s="58"/>
      <c r="AL91" s="58"/>
      <c r="AM91" s="58"/>
    </row>
    <row r="92" spans="1:39" ht="12.75">
      <c r="A92" s="58"/>
      <c r="B92" s="58"/>
      <c r="C92" s="66"/>
      <c r="D92" s="66"/>
      <c r="E92" s="66"/>
      <c r="F92" s="66"/>
      <c r="G92" s="66"/>
      <c r="H92" s="66"/>
      <c r="I92" s="66"/>
      <c r="J92" s="66"/>
      <c r="K92" s="66"/>
      <c r="L92" s="66"/>
      <c r="M92" s="66"/>
      <c r="N92" s="66"/>
      <c r="O92" s="66"/>
      <c r="P92" s="66"/>
      <c r="Q92" s="66"/>
      <c r="R92" s="66"/>
      <c r="S92" s="66"/>
      <c r="T92" s="66"/>
      <c r="U92" s="66"/>
      <c r="V92" s="66"/>
      <c r="W92" s="66"/>
      <c r="X92" s="66"/>
      <c r="Y92" s="66"/>
      <c r="Z92" s="66"/>
      <c r="AA92" s="67"/>
      <c r="AB92" s="67"/>
      <c r="AC92" s="58"/>
      <c r="AD92" s="58"/>
      <c r="AE92" s="58"/>
      <c r="AF92" s="58"/>
      <c r="AG92" s="58"/>
      <c r="AH92" s="58"/>
      <c r="AI92" s="58"/>
      <c r="AJ92" s="58"/>
      <c r="AK92" s="58"/>
      <c r="AL92" s="58"/>
      <c r="AM92" s="58"/>
    </row>
    <row r="93" spans="1:39" ht="12.75">
      <c r="A93" s="58"/>
      <c r="B93" s="58"/>
      <c r="C93" s="66"/>
      <c r="D93" s="66"/>
      <c r="E93" s="66"/>
      <c r="F93" s="66"/>
      <c r="G93" s="66"/>
      <c r="H93" s="66"/>
      <c r="I93" s="66"/>
      <c r="J93" s="66"/>
      <c r="K93" s="66"/>
      <c r="L93" s="66"/>
      <c r="M93" s="66"/>
      <c r="N93" s="66"/>
      <c r="O93" s="66"/>
      <c r="P93" s="66"/>
      <c r="Q93" s="66"/>
      <c r="R93" s="66"/>
      <c r="S93" s="66"/>
      <c r="T93" s="66"/>
      <c r="U93" s="66"/>
      <c r="V93" s="66"/>
      <c r="W93" s="66"/>
      <c r="X93" s="66"/>
      <c r="Y93" s="66"/>
      <c r="Z93" s="66"/>
      <c r="AA93" s="67"/>
      <c r="AB93" s="67"/>
      <c r="AC93" s="58"/>
      <c r="AD93" s="58"/>
      <c r="AE93" s="58"/>
      <c r="AF93" s="58"/>
      <c r="AG93" s="58"/>
      <c r="AH93" s="58"/>
      <c r="AI93" s="58"/>
      <c r="AJ93" s="58"/>
      <c r="AK93" s="58"/>
      <c r="AL93" s="58"/>
      <c r="AM93" s="58"/>
    </row>
    <row r="94" spans="1:39" ht="12.75">
      <c r="A94" s="58"/>
      <c r="B94" s="58"/>
      <c r="C94" s="66"/>
      <c r="D94" s="66"/>
      <c r="E94" s="66"/>
      <c r="F94" s="66"/>
      <c r="G94" s="66"/>
      <c r="H94" s="66"/>
      <c r="I94" s="66"/>
      <c r="J94" s="66"/>
      <c r="K94" s="66"/>
      <c r="L94" s="66"/>
      <c r="M94" s="66"/>
      <c r="N94" s="66"/>
      <c r="O94" s="66"/>
      <c r="P94" s="66"/>
      <c r="Q94" s="66"/>
      <c r="R94" s="66"/>
      <c r="S94" s="66"/>
      <c r="T94" s="66"/>
      <c r="U94" s="66"/>
      <c r="V94" s="66"/>
      <c r="W94" s="66"/>
      <c r="X94" s="66"/>
      <c r="Y94" s="66"/>
      <c r="Z94" s="66"/>
      <c r="AA94" s="67"/>
      <c r="AB94" s="67"/>
      <c r="AC94" s="58"/>
      <c r="AD94" s="58"/>
      <c r="AE94" s="58"/>
      <c r="AF94" s="58"/>
      <c r="AG94" s="58"/>
      <c r="AH94" s="58"/>
      <c r="AI94" s="58"/>
      <c r="AJ94" s="58"/>
      <c r="AK94" s="58"/>
      <c r="AL94" s="58"/>
      <c r="AM94" s="58"/>
    </row>
    <row r="95" spans="1:39" ht="12.75">
      <c r="A95" s="58"/>
      <c r="B95" s="58"/>
      <c r="C95" s="66"/>
      <c r="D95" s="66"/>
      <c r="E95" s="66"/>
      <c r="F95" s="66"/>
      <c r="G95" s="66"/>
      <c r="H95" s="66"/>
      <c r="I95" s="66"/>
      <c r="J95" s="66"/>
      <c r="K95" s="66"/>
      <c r="L95" s="66"/>
      <c r="M95" s="66"/>
      <c r="N95" s="66"/>
      <c r="O95" s="66"/>
      <c r="P95" s="66"/>
      <c r="Q95" s="66"/>
      <c r="R95" s="66"/>
      <c r="S95" s="66"/>
      <c r="T95" s="66"/>
      <c r="U95" s="66"/>
      <c r="V95" s="66"/>
      <c r="W95" s="66"/>
      <c r="X95" s="66"/>
      <c r="Y95" s="66"/>
      <c r="Z95" s="66"/>
      <c r="AA95" s="67"/>
      <c r="AB95" s="67"/>
      <c r="AC95" s="58"/>
      <c r="AD95" s="58"/>
      <c r="AE95" s="58"/>
      <c r="AF95" s="58"/>
      <c r="AG95" s="58"/>
      <c r="AH95" s="58"/>
      <c r="AI95" s="58"/>
      <c r="AJ95" s="58"/>
      <c r="AK95" s="58"/>
      <c r="AL95" s="58"/>
      <c r="AM95" s="58"/>
    </row>
    <row r="96" spans="1:39" ht="12.75">
      <c r="A96" s="58"/>
      <c r="B96" s="58"/>
      <c r="C96" s="66"/>
      <c r="D96" s="66"/>
      <c r="E96" s="66"/>
      <c r="F96" s="66"/>
      <c r="G96" s="66"/>
      <c r="H96" s="66"/>
      <c r="I96" s="66"/>
      <c r="J96" s="66"/>
      <c r="K96" s="66"/>
      <c r="L96" s="66"/>
      <c r="M96" s="66"/>
      <c r="N96" s="66"/>
      <c r="O96" s="66"/>
      <c r="P96" s="66"/>
      <c r="Q96" s="66"/>
      <c r="R96" s="66"/>
      <c r="S96" s="66"/>
      <c r="T96" s="66"/>
      <c r="U96" s="66"/>
      <c r="V96" s="66"/>
      <c r="W96" s="66"/>
      <c r="X96" s="66"/>
      <c r="Y96" s="66"/>
      <c r="Z96" s="66"/>
      <c r="AA96" s="67"/>
      <c r="AB96" s="67"/>
      <c r="AC96" s="58"/>
      <c r="AD96" s="58"/>
      <c r="AE96" s="58"/>
      <c r="AF96" s="58"/>
      <c r="AG96" s="58"/>
      <c r="AH96" s="58"/>
      <c r="AI96" s="58"/>
      <c r="AJ96" s="58"/>
      <c r="AK96" s="58"/>
      <c r="AL96" s="58"/>
      <c r="AM96" s="58"/>
    </row>
    <row r="97" spans="1:39" ht="12.75">
      <c r="A97" s="58"/>
      <c r="B97" s="58"/>
      <c r="C97" s="66"/>
      <c r="D97" s="66"/>
      <c r="E97" s="66"/>
      <c r="F97" s="66"/>
      <c r="G97" s="66"/>
      <c r="H97" s="66"/>
      <c r="I97" s="66"/>
      <c r="J97" s="66"/>
      <c r="K97" s="66"/>
      <c r="L97" s="66"/>
      <c r="M97" s="66"/>
      <c r="N97" s="66"/>
      <c r="O97" s="66"/>
      <c r="P97" s="66"/>
      <c r="Q97" s="66"/>
      <c r="R97" s="66"/>
      <c r="S97" s="66"/>
      <c r="T97" s="66"/>
      <c r="U97" s="66"/>
      <c r="V97" s="66"/>
      <c r="W97" s="66"/>
      <c r="X97" s="66"/>
      <c r="Y97" s="66"/>
      <c r="Z97" s="66"/>
      <c r="AA97" s="67"/>
      <c r="AB97" s="67"/>
      <c r="AC97" s="58"/>
      <c r="AD97" s="58"/>
      <c r="AE97" s="58"/>
      <c r="AF97" s="58"/>
      <c r="AG97" s="58"/>
      <c r="AH97" s="58"/>
      <c r="AI97" s="58"/>
      <c r="AJ97" s="58"/>
      <c r="AK97" s="58"/>
      <c r="AL97" s="58"/>
      <c r="AM97" s="58"/>
    </row>
    <row r="98" spans="1:39" ht="12.75">
      <c r="A98" s="58"/>
      <c r="B98" s="58"/>
      <c r="C98" s="66"/>
      <c r="D98" s="66"/>
      <c r="E98" s="66"/>
      <c r="F98" s="66"/>
      <c r="G98" s="66"/>
      <c r="H98" s="66"/>
      <c r="I98" s="66"/>
      <c r="J98" s="66"/>
      <c r="K98" s="66"/>
      <c r="L98" s="66"/>
      <c r="M98" s="66"/>
      <c r="N98" s="66"/>
      <c r="O98" s="66"/>
      <c r="P98" s="66"/>
      <c r="Q98" s="66"/>
      <c r="R98" s="66"/>
      <c r="S98" s="66"/>
      <c r="T98" s="66"/>
      <c r="U98" s="66"/>
      <c r="V98" s="66"/>
      <c r="W98" s="66"/>
      <c r="X98" s="66"/>
      <c r="Y98" s="66"/>
      <c r="Z98" s="66"/>
      <c r="AA98" s="67"/>
      <c r="AB98" s="67"/>
      <c r="AC98" s="58"/>
      <c r="AD98" s="58"/>
      <c r="AE98" s="58"/>
      <c r="AF98" s="58"/>
      <c r="AG98" s="58"/>
      <c r="AH98" s="58"/>
      <c r="AI98" s="58"/>
      <c r="AJ98" s="58"/>
      <c r="AK98" s="58"/>
      <c r="AL98" s="58"/>
      <c r="AM98" s="58"/>
    </row>
    <row r="99" spans="1:39" ht="12.75">
      <c r="A99" s="58"/>
      <c r="B99" s="58"/>
      <c r="C99" s="66"/>
      <c r="D99" s="66"/>
      <c r="E99" s="66"/>
      <c r="F99" s="66"/>
      <c r="G99" s="66"/>
      <c r="H99" s="66"/>
      <c r="I99" s="66"/>
      <c r="J99" s="66"/>
      <c r="K99" s="66"/>
      <c r="L99" s="66"/>
      <c r="M99" s="66"/>
      <c r="N99" s="66"/>
      <c r="O99" s="66"/>
      <c r="P99" s="66"/>
      <c r="Q99" s="66"/>
      <c r="R99" s="66"/>
      <c r="S99" s="66"/>
      <c r="T99" s="66"/>
      <c r="U99" s="66"/>
      <c r="V99" s="66"/>
      <c r="W99" s="66"/>
      <c r="X99" s="66"/>
      <c r="Y99" s="66"/>
      <c r="Z99" s="66"/>
      <c r="AA99" s="67"/>
      <c r="AB99" s="67"/>
      <c r="AC99" s="58"/>
      <c r="AD99" s="58"/>
      <c r="AE99" s="58"/>
      <c r="AF99" s="58"/>
      <c r="AG99" s="58"/>
      <c r="AH99" s="58"/>
      <c r="AI99" s="58"/>
      <c r="AJ99" s="58"/>
      <c r="AK99" s="58"/>
      <c r="AL99" s="58"/>
      <c r="AM99" s="58"/>
    </row>
    <row r="100" spans="1:39" ht="12.75">
      <c r="A100" s="58"/>
      <c r="B100" s="58"/>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7"/>
      <c r="AB100" s="67"/>
      <c r="AC100" s="58"/>
      <c r="AD100" s="58"/>
      <c r="AE100" s="58"/>
      <c r="AF100" s="58"/>
      <c r="AG100" s="58"/>
      <c r="AH100" s="58"/>
      <c r="AI100" s="58"/>
      <c r="AJ100" s="58"/>
      <c r="AK100" s="58"/>
      <c r="AL100" s="58"/>
      <c r="AM100" s="58"/>
    </row>
    <row r="101" spans="1:39" ht="12.75">
      <c r="A101" s="58"/>
      <c r="B101" s="58"/>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7"/>
      <c r="AB101" s="67"/>
      <c r="AC101" s="58"/>
      <c r="AD101" s="58"/>
      <c r="AE101" s="58"/>
      <c r="AF101" s="58"/>
      <c r="AG101" s="58"/>
      <c r="AH101" s="58"/>
      <c r="AI101" s="58"/>
      <c r="AJ101" s="58"/>
      <c r="AK101" s="58"/>
      <c r="AL101" s="58"/>
      <c r="AM101" s="58"/>
    </row>
    <row r="102" spans="1:39" ht="12.75">
      <c r="A102" s="58"/>
      <c r="B102" s="58"/>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7"/>
      <c r="AB102" s="67"/>
      <c r="AC102" s="58"/>
      <c r="AD102" s="58"/>
      <c r="AE102" s="58"/>
      <c r="AF102" s="58"/>
      <c r="AG102" s="58"/>
      <c r="AH102" s="58"/>
      <c r="AI102" s="58"/>
      <c r="AJ102" s="58"/>
      <c r="AK102" s="58"/>
      <c r="AL102" s="58"/>
      <c r="AM102" s="58"/>
    </row>
    <row r="103" spans="1:39" ht="12.75">
      <c r="A103" s="58"/>
      <c r="B103" s="58"/>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7"/>
      <c r="AB103" s="67"/>
      <c r="AC103" s="58"/>
      <c r="AD103" s="58"/>
      <c r="AE103" s="58"/>
      <c r="AF103" s="58"/>
      <c r="AG103" s="58"/>
      <c r="AH103" s="58"/>
      <c r="AI103" s="58"/>
      <c r="AJ103" s="58"/>
      <c r="AK103" s="58"/>
      <c r="AL103" s="58"/>
      <c r="AM103" s="58"/>
    </row>
    <row r="104" spans="1:39" ht="12.75">
      <c r="A104" s="58"/>
      <c r="B104" s="58"/>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7"/>
      <c r="AB104" s="67"/>
      <c r="AC104" s="58"/>
      <c r="AD104" s="58"/>
      <c r="AE104" s="58"/>
      <c r="AF104" s="58"/>
      <c r="AG104" s="58"/>
      <c r="AH104" s="58"/>
      <c r="AI104" s="58"/>
      <c r="AJ104" s="58"/>
      <c r="AK104" s="58"/>
      <c r="AL104" s="58"/>
      <c r="AM104" s="58"/>
    </row>
    <row r="105" spans="1:39" ht="12.75">
      <c r="A105" s="58"/>
      <c r="B105" s="58"/>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7"/>
      <c r="AB105" s="67"/>
      <c r="AC105" s="58"/>
      <c r="AD105" s="58"/>
      <c r="AE105" s="58"/>
      <c r="AF105" s="58"/>
      <c r="AG105" s="58"/>
      <c r="AH105" s="58"/>
      <c r="AI105" s="58"/>
      <c r="AJ105" s="58"/>
      <c r="AK105" s="58"/>
      <c r="AL105" s="58"/>
      <c r="AM105" s="58"/>
    </row>
    <row r="106" spans="1:39" ht="12.75">
      <c r="A106" s="58"/>
      <c r="B106" s="58"/>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7"/>
      <c r="AB106" s="67"/>
      <c r="AC106" s="58"/>
      <c r="AD106" s="58"/>
      <c r="AE106" s="58"/>
      <c r="AF106" s="58"/>
      <c r="AG106" s="58"/>
      <c r="AH106" s="58"/>
      <c r="AI106" s="58"/>
      <c r="AJ106" s="58"/>
      <c r="AK106" s="58"/>
      <c r="AL106" s="58"/>
      <c r="AM106" s="58"/>
    </row>
    <row r="107" spans="1:39" ht="12.75">
      <c r="A107" s="58"/>
      <c r="B107" s="58"/>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7"/>
      <c r="AB107" s="67"/>
      <c r="AC107" s="58"/>
      <c r="AD107" s="58"/>
      <c r="AE107" s="58"/>
      <c r="AF107" s="58"/>
      <c r="AG107" s="58"/>
      <c r="AH107" s="58"/>
      <c r="AI107" s="58"/>
      <c r="AJ107" s="58"/>
      <c r="AK107" s="58"/>
      <c r="AL107" s="58"/>
      <c r="AM107" s="58"/>
    </row>
    <row r="108" spans="1:39" ht="12.75">
      <c r="A108" s="58"/>
      <c r="B108" s="58"/>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7"/>
      <c r="AB108" s="67"/>
      <c r="AC108" s="58"/>
      <c r="AD108" s="58"/>
      <c r="AE108" s="58"/>
      <c r="AF108" s="58"/>
      <c r="AG108" s="58"/>
      <c r="AH108" s="58"/>
      <c r="AI108" s="58"/>
      <c r="AJ108" s="58"/>
      <c r="AK108" s="58"/>
      <c r="AL108" s="58"/>
      <c r="AM108" s="58"/>
    </row>
    <row r="109" spans="1:39" ht="12.75">
      <c r="A109" s="58"/>
      <c r="B109" s="58"/>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7"/>
      <c r="AB109" s="67"/>
      <c r="AC109" s="58"/>
      <c r="AD109" s="58"/>
      <c r="AE109" s="58"/>
      <c r="AF109" s="58"/>
      <c r="AG109" s="58"/>
      <c r="AH109" s="58"/>
      <c r="AI109" s="58"/>
      <c r="AJ109" s="58"/>
      <c r="AK109" s="58"/>
      <c r="AL109" s="58"/>
      <c r="AM109" s="58"/>
    </row>
    <row r="110" spans="1:39" ht="12.75">
      <c r="A110" s="58"/>
      <c r="B110" s="58"/>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7"/>
      <c r="AB110" s="67"/>
      <c r="AC110" s="58"/>
      <c r="AD110" s="58"/>
      <c r="AE110" s="58"/>
      <c r="AF110" s="58"/>
      <c r="AG110" s="58"/>
      <c r="AH110" s="58"/>
      <c r="AI110" s="58"/>
      <c r="AJ110" s="58"/>
      <c r="AK110" s="58"/>
      <c r="AL110" s="58"/>
      <c r="AM110" s="58"/>
    </row>
    <row r="111" spans="1:39" ht="12.75">
      <c r="A111" s="58"/>
      <c r="B111" s="58"/>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7"/>
      <c r="AB111" s="67"/>
      <c r="AC111" s="58"/>
      <c r="AD111" s="58"/>
      <c r="AE111" s="58"/>
      <c r="AF111" s="58"/>
      <c r="AG111" s="58"/>
      <c r="AH111" s="58"/>
      <c r="AI111" s="58"/>
      <c r="AJ111" s="58"/>
      <c r="AK111" s="58"/>
      <c r="AL111" s="58"/>
      <c r="AM111" s="58"/>
    </row>
    <row r="112" spans="1:39" ht="12.75">
      <c r="A112" s="58"/>
      <c r="B112" s="58"/>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7"/>
      <c r="AB112" s="67"/>
      <c r="AC112" s="58"/>
      <c r="AD112" s="58"/>
      <c r="AE112" s="58"/>
      <c r="AF112" s="58"/>
      <c r="AG112" s="58"/>
      <c r="AH112" s="58"/>
      <c r="AI112" s="58"/>
      <c r="AJ112" s="58"/>
      <c r="AK112" s="58"/>
      <c r="AL112" s="58"/>
      <c r="AM112" s="58"/>
    </row>
    <row r="113" spans="1:39" ht="12.75">
      <c r="A113" s="58"/>
      <c r="B113" s="58"/>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7"/>
      <c r="AB113" s="67"/>
      <c r="AC113" s="58"/>
      <c r="AD113" s="58"/>
      <c r="AE113" s="58"/>
      <c r="AF113" s="58"/>
      <c r="AG113" s="58"/>
      <c r="AH113" s="58"/>
      <c r="AI113" s="58"/>
      <c r="AJ113" s="58"/>
      <c r="AK113" s="58"/>
      <c r="AL113" s="58"/>
      <c r="AM113" s="58"/>
    </row>
    <row r="114" spans="1:39" ht="12.75">
      <c r="A114" s="58"/>
      <c r="B114" s="58"/>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7"/>
      <c r="AB114" s="67"/>
      <c r="AC114" s="58"/>
      <c r="AD114" s="58"/>
      <c r="AE114" s="58"/>
      <c r="AF114" s="58"/>
      <c r="AG114" s="58"/>
      <c r="AH114" s="58"/>
      <c r="AI114" s="58"/>
      <c r="AJ114" s="58"/>
      <c r="AK114" s="58"/>
      <c r="AL114" s="58"/>
      <c r="AM114" s="58"/>
    </row>
    <row r="115" spans="1:39" ht="12.75">
      <c r="A115" s="58"/>
      <c r="B115" s="58"/>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7"/>
      <c r="AB115" s="67"/>
      <c r="AC115" s="58"/>
      <c r="AD115" s="58"/>
      <c r="AE115" s="58"/>
      <c r="AF115" s="58"/>
      <c r="AG115" s="58"/>
      <c r="AH115" s="58"/>
      <c r="AI115" s="58"/>
      <c r="AJ115" s="58"/>
      <c r="AK115" s="58"/>
      <c r="AL115" s="58"/>
      <c r="AM115" s="58"/>
    </row>
    <row r="116" spans="1:39" ht="12.75">
      <c r="A116" s="58"/>
      <c r="B116" s="58"/>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7"/>
      <c r="AB116" s="67"/>
      <c r="AC116" s="58"/>
      <c r="AD116" s="58"/>
      <c r="AE116" s="58"/>
      <c r="AF116" s="58"/>
      <c r="AG116" s="58"/>
      <c r="AH116" s="58"/>
      <c r="AI116" s="58"/>
      <c r="AJ116" s="58"/>
      <c r="AK116" s="58"/>
      <c r="AL116" s="58"/>
      <c r="AM116" s="58"/>
    </row>
    <row r="117" spans="1:39" ht="12.75">
      <c r="A117" s="58"/>
      <c r="B117" s="58"/>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7"/>
      <c r="AB117" s="67"/>
      <c r="AC117" s="58"/>
      <c r="AD117" s="58"/>
      <c r="AE117" s="58"/>
      <c r="AF117" s="58"/>
      <c r="AG117" s="58"/>
      <c r="AH117" s="58"/>
      <c r="AI117" s="58"/>
      <c r="AJ117" s="58"/>
      <c r="AK117" s="58"/>
      <c r="AL117" s="58"/>
      <c r="AM117" s="58"/>
    </row>
    <row r="118" spans="1:39" ht="12.75">
      <c r="A118" s="58"/>
      <c r="B118" s="58"/>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7"/>
      <c r="AB118" s="67"/>
      <c r="AC118" s="58"/>
      <c r="AD118" s="58"/>
      <c r="AE118" s="58"/>
      <c r="AF118" s="58"/>
      <c r="AG118" s="58"/>
      <c r="AH118" s="58"/>
      <c r="AI118" s="58"/>
      <c r="AJ118" s="58"/>
      <c r="AK118" s="58"/>
      <c r="AL118" s="58"/>
      <c r="AM118" s="58"/>
    </row>
    <row r="119" spans="1:39" ht="12.75">
      <c r="A119" s="58"/>
      <c r="B119" s="58"/>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7"/>
      <c r="AB119" s="67"/>
      <c r="AC119" s="58"/>
      <c r="AD119" s="58"/>
      <c r="AE119" s="58"/>
      <c r="AF119" s="58"/>
      <c r="AG119" s="58"/>
      <c r="AH119" s="58"/>
      <c r="AI119" s="58"/>
      <c r="AJ119" s="58"/>
      <c r="AK119" s="58"/>
      <c r="AL119" s="58"/>
      <c r="AM119" s="58"/>
    </row>
    <row r="120" spans="1:39" ht="12.75">
      <c r="A120" s="58"/>
      <c r="B120" s="58"/>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7"/>
      <c r="AB120" s="67"/>
      <c r="AC120" s="58"/>
      <c r="AD120" s="58"/>
      <c r="AE120" s="58"/>
      <c r="AF120" s="58"/>
      <c r="AG120" s="58"/>
      <c r="AH120" s="58"/>
      <c r="AI120" s="58"/>
      <c r="AJ120" s="58"/>
      <c r="AK120" s="58"/>
      <c r="AL120" s="58"/>
      <c r="AM120" s="58"/>
    </row>
    <row r="121" spans="1:39" ht="12.75">
      <c r="A121" s="58"/>
      <c r="B121" s="58"/>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7"/>
      <c r="AB121" s="67"/>
      <c r="AC121" s="58"/>
      <c r="AD121" s="58"/>
      <c r="AE121" s="58"/>
      <c r="AF121" s="58"/>
      <c r="AG121" s="58"/>
      <c r="AH121" s="58"/>
      <c r="AI121" s="58"/>
      <c r="AJ121" s="58"/>
      <c r="AK121" s="58"/>
      <c r="AL121" s="58"/>
      <c r="AM121" s="58"/>
    </row>
    <row r="122" spans="1:39" ht="12.75">
      <c r="A122" s="58"/>
      <c r="B122" s="58"/>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7"/>
      <c r="AB122" s="67"/>
      <c r="AC122" s="58"/>
      <c r="AD122" s="58"/>
      <c r="AE122" s="58"/>
      <c r="AF122" s="58"/>
      <c r="AG122" s="58"/>
      <c r="AH122" s="58"/>
      <c r="AI122" s="58"/>
      <c r="AJ122" s="58"/>
      <c r="AK122" s="58"/>
      <c r="AL122" s="58"/>
      <c r="AM122" s="58"/>
    </row>
    <row r="123" spans="1:39" ht="12.75">
      <c r="A123" s="58"/>
      <c r="B123" s="58"/>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7"/>
      <c r="AB123" s="67"/>
      <c r="AC123" s="58"/>
      <c r="AD123" s="58"/>
      <c r="AE123" s="58"/>
      <c r="AF123" s="58"/>
      <c r="AG123" s="58"/>
      <c r="AH123" s="58"/>
      <c r="AI123" s="58"/>
      <c r="AJ123" s="58"/>
      <c r="AK123" s="58"/>
      <c r="AL123" s="58"/>
      <c r="AM123" s="58"/>
    </row>
    <row r="124" spans="1:39" ht="12.75">
      <c r="A124" s="58"/>
      <c r="B124" s="58"/>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7"/>
      <c r="AB124" s="67"/>
      <c r="AC124" s="58"/>
      <c r="AD124" s="58"/>
      <c r="AE124" s="58"/>
      <c r="AF124" s="58"/>
      <c r="AG124" s="58"/>
      <c r="AH124" s="58"/>
      <c r="AI124" s="58"/>
      <c r="AJ124" s="58"/>
      <c r="AK124" s="58"/>
      <c r="AL124" s="58"/>
      <c r="AM124" s="58"/>
    </row>
    <row r="125" spans="1:39" ht="12.75">
      <c r="A125" s="58"/>
      <c r="B125" s="58"/>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7"/>
      <c r="AB125" s="67"/>
      <c r="AC125" s="58"/>
      <c r="AD125" s="58"/>
      <c r="AE125" s="58"/>
      <c r="AF125" s="58"/>
      <c r="AG125" s="58"/>
      <c r="AH125" s="58"/>
      <c r="AI125" s="58"/>
      <c r="AJ125" s="58"/>
      <c r="AK125" s="58"/>
      <c r="AL125" s="58"/>
      <c r="AM125" s="58"/>
    </row>
    <row r="126" spans="1:39" ht="12.75">
      <c r="A126" s="58"/>
      <c r="B126" s="58"/>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7"/>
      <c r="AB126" s="67"/>
      <c r="AC126" s="58"/>
      <c r="AD126" s="58"/>
      <c r="AE126" s="58"/>
      <c r="AF126" s="58"/>
      <c r="AG126" s="58"/>
      <c r="AH126" s="58"/>
      <c r="AI126" s="58"/>
      <c r="AJ126" s="58"/>
      <c r="AK126" s="58"/>
      <c r="AL126" s="58"/>
      <c r="AM126" s="58"/>
    </row>
    <row r="127" spans="1:39" ht="12.75">
      <c r="A127" s="58"/>
      <c r="B127" s="58"/>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7"/>
      <c r="AB127" s="67"/>
      <c r="AC127" s="58"/>
      <c r="AD127" s="58"/>
      <c r="AE127" s="58"/>
      <c r="AF127" s="58"/>
      <c r="AG127" s="58"/>
      <c r="AH127" s="58"/>
      <c r="AI127" s="58"/>
      <c r="AJ127" s="58"/>
      <c r="AK127" s="58"/>
      <c r="AL127" s="58"/>
      <c r="AM127" s="58"/>
    </row>
    <row r="128" spans="1:39" ht="12.75">
      <c r="A128" s="58"/>
      <c r="B128" s="58"/>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7"/>
      <c r="AB128" s="67"/>
      <c r="AC128" s="58"/>
      <c r="AD128" s="58"/>
      <c r="AE128" s="58"/>
      <c r="AF128" s="58"/>
      <c r="AG128" s="58"/>
      <c r="AH128" s="58"/>
      <c r="AI128" s="58"/>
      <c r="AJ128" s="58"/>
      <c r="AK128" s="58"/>
      <c r="AL128" s="58"/>
      <c r="AM128" s="58"/>
    </row>
    <row r="129" spans="1:39" ht="12.75">
      <c r="A129" s="58"/>
      <c r="B129" s="58"/>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7"/>
      <c r="AB129" s="67"/>
      <c r="AC129" s="58"/>
      <c r="AD129" s="58"/>
      <c r="AE129" s="58"/>
      <c r="AF129" s="58"/>
      <c r="AG129" s="58"/>
      <c r="AH129" s="58"/>
      <c r="AI129" s="58"/>
      <c r="AJ129" s="58"/>
      <c r="AK129" s="58"/>
      <c r="AL129" s="58"/>
      <c r="AM129" s="58"/>
    </row>
    <row r="130" spans="1:39" ht="12.75">
      <c r="A130" s="58"/>
      <c r="B130" s="58"/>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7"/>
      <c r="AB130" s="67"/>
      <c r="AC130" s="58"/>
      <c r="AD130" s="58"/>
      <c r="AE130" s="58"/>
      <c r="AF130" s="58"/>
      <c r="AG130" s="58"/>
      <c r="AH130" s="58"/>
      <c r="AI130" s="58"/>
      <c r="AJ130" s="58"/>
      <c r="AK130" s="58"/>
      <c r="AL130" s="58"/>
      <c r="AM130" s="58"/>
    </row>
    <row r="131" spans="1:39" ht="12.75">
      <c r="A131" s="58"/>
      <c r="B131" s="58"/>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7"/>
      <c r="AB131" s="67"/>
      <c r="AC131" s="58"/>
      <c r="AD131" s="58"/>
      <c r="AE131" s="58"/>
      <c r="AF131" s="58"/>
      <c r="AG131" s="58"/>
      <c r="AH131" s="58"/>
      <c r="AI131" s="58"/>
      <c r="AJ131" s="58"/>
      <c r="AK131" s="58"/>
      <c r="AL131" s="58"/>
      <c r="AM131" s="58"/>
    </row>
    <row r="132" spans="1:39" ht="12.75">
      <c r="A132" s="58"/>
      <c r="B132" s="58"/>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7"/>
      <c r="AB132" s="67"/>
      <c r="AC132" s="58"/>
      <c r="AD132" s="58"/>
      <c r="AE132" s="58"/>
      <c r="AF132" s="58"/>
      <c r="AG132" s="58"/>
      <c r="AH132" s="58"/>
      <c r="AI132" s="58"/>
      <c r="AJ132" s="58"/>
      <c r="AK132" s="58"/>
      <c r="AL132" s="58"/>
      <c r="AM132" s="58"/>
    </row>
    <row r="133" spans="1:39" ht="12.75">
      <c r="A133" s="58"/>
      <c r="B133" s="58"/>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7"/>
      <c r="AB133" s="67"/>
      <c r="AC133" s="58"/>
      <c r="AD133" s="58"/>
      <c r="AE133" s="58"/>
      <c r="AF133" s="58"/>
      <c r="AG133" s="58"/>
      <c r="AH133" s="58"/>
      <c r="AI133" s="58"/>
      <c r="AJ133" s="58"/>
      <c r="AK133" s="58"/>
      <c r="AL133" s="58"/>
      <c r="AM133" s="58"/>
    </row>
    <row r="134" spans="1:39" ht="12.75">
      <c r="A134" s="58"/>
      <c r="B134" s="58"/>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7"/>
      <c r="AB134" s="67"/>
      <c r="AC134" s="58"/>
      <c r="AD134" s="58"/>
      <c r="AE134" s="58"/>
      <c r="AF134" s="58"/>
      <c r="AG134" s="58"/>
      <c r="AH134" s="58"/>
      <c r="AI134" s="58"/>
      <c r="AJ134" s="58"/>
      <c r="AK134" s="58"/>
      <c r="AL134" s="58"/>
      <c r="AM134" s="58"/>
    </row>
    <row r="135" spans="2:39" ht="12.75">
      <c r="B135" s="58"/>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7"/>
      <c r="AB135" s="67"/>
      <c r="AC135" s="58"/>
      <c r="AD135" s="58"/>
      <c r="AE135" s="58"/>
      <c r="AF135" s="58"/>
      <c r="AG135" s="58"/>
      <c r="AH135" s="58"/>
      <c r="AI135" s="58"/>
      <c r="AJ135" s="58"/>
      <c r="AK135" s="58"/>
      <c r="AL135" s="58"/>
      <c r="AM135" s="58"/>
    </row>
    <row r="136" spans="2:39" ht="12.75">
      <c r="B136" s="58"/>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7"/>
      <c r="AB136" s="67"/>
      <c r="AC136" s="58"/>
      <c r="AD136" s="58"/>
      <c r="AE136" s="58"/>
      <c r="AF136" s="58"/>
      <c r="AG136" s="58"/>
      <c r="AH136" s="58"/>
      <c r="AI136" s="58"/>
      <c r="AJ136" s="58"/>
      <c r="AK136" s="58"/>
      <c r="AL136" s="58"/>
      <c r="AM136" s="58"/>
    </row>
    <row r="137" spans="2:39" ht="12.75">
      <c r="B137" s="58"/>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7"/>
      <c r="AB137" s="67"/>
      <c r="AC137" s="58"/>
      <c r="AD137" s="58"/>
      <c r="AE137" s="58"/>
      <c r="AF137" s="58"/>
      <c r="AG137" s="58"/>
      <c r="AH137" s="58"/>
      <c r="AI137" s="58"/>
      <c r="AJ137" s="58"/>
      <c r="AK137" s="58"/>
      <c r="AL137" s="58"/>
      <c r="AM137" s="58"/>
    </row>
    <row r="138" spans="2:39" ht="12.75">
      <c r="B138" s="58"/>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7"/>
      <c r="AB138" s="67"/>
      <c r="AC138" s="58"/>
      <c r="AD138" s="58"/>
      <c r="AE138" s="58"/>
      <c r="AF138" s="58"/>
      <c r="AG138" s="58"/>
      <c r="AH138" s="58"/>
      <c r="AI138" s="58"/>
      <c r="AJ138" s="58"/>
      <c r="AK138" s="58"/>
      <c r="AL138" s="58"/>
      <c r="AM138" s="58"/>
    </row>
    <row r="139" spans="2:39" ht="12.75">
      <c r="B139" s="58"/>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7"/>
      <c r="AB139" s="67"/>
      <c r="AC139" s="58"/>
      <c r="AD139" s="58"/>
      <c r="AE139" s="58"/>
      <c r="AF139" s="58"/>
      <c r="AG139" s="58"/>
      <c r="AH139" s="58"/>
      <c r="AI139" s="58"/>
      <c r="AJ139" s="58"/>
      <c r="AK139" s="58"/>
      <c r="AL139" s="58"/>
      <c r="AM139" s="58"/>
    </row>
    <row r="140" spans="2:39" ht="12.75">
      <c r="B140" s="58"/>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7"/>
      <c r="AB140" s="67"/>
      <c r="AC140" s="58"/>
      <c r="AD140" s="58"/>
      <c r="AE140" s="58"/>
      <c r="AF140" s="58"/>
      <c r="AG140" s="58"/>
      <c r="AH140" s="58"/>
      <c r="AI140" s="58"/>
      <c r="AJ140" s="58"/>
      <c r="AK140" s="58"/>
      <c r="AL140" s="58"/>
      <c r="AM140" s="58"/>
    </row>
    <row r="141" spans="2:39" ht="12.75">
      <c r="B141" s="58"/>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7"/>
      <c r="AB141" s="67"/>
      <c r="AC141" s="58"/>
      <c r="AD141" s="58"/>
      <c r="AE141" s="58"/>
      <c r="AF141" s="58"/>
      <c r="AG141" s="58"/>
      <c r="AH141" s="58"/>
      <c r="AI141" s="58"/>
      <c r="AJ141" s="58"/>
      <c r="AK141" s="58"/>
      <c r="AL141" s="58"/>
      <c r="AM141" s="58"/>
    </row>
    <row r="142" spans="2:39" ht="12.75">
      <c r="B142" s="58"/>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7"/>
      <c r="AB142" s="67"/>
      <c r="AC142" s="58"/>
      <c r="AD142" s="58"/>
      <c r="AE142" s="58"/>
      <c r="AF142" s="58"/>
      <c r="AG142" s="58"/>
      <c r="AH142" s="58"/>
      <c r="AI142" s="58"/>
      <c r="AJ142" s="58"/>
      <c r="AK142" s="58"/>
      <c r="AL142" s="58"/>
      <c r="AM142" s="58"/>
    </row>
    <row r="143" spans="2:39" ht="12.75">
      <c r="B143" s="58"/>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7"/>
      <c r="AB143" s="67"/>
      <c r="AC143" s="58"/>
      <c r="AD143" s="58"/>
      <c r="AE143" s="58"/>
      <c r="AF143" s="58"/>
      <c r="AG143" s="58"/>
      <c r="AH143" s="58"/>
      <c r="AI143" s="58"/>
      <c r="AJ143" s="58"/>
      <c r="AK143" s="58"/>
      <c r="AL143" s="58"/>
      <c r="AM143" s="58"/>
    </row>
    <row r="144" spans="2:39" ht="12.75">
      <c r="B144" s="58"/>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7"/>
      <c r="AB144" s="67"/>
      <c r="AC144" s="58"/>
      <c r="AD144" s="58"/>
      <c r="AE144" s="58"/>
      <c r="AF144" s="58"/>
      <c r="AG144" s="58"/>
      <c r="AH144" s="58"/>
      <c r="AI144" s="58"/>
      <c r="AJ144" s="58"/>
      <c r="AK144" s="58"/>
      <c r="AL144" s="58"/>
      <c r="AM144" s="58"/>
    </row>
    <row r="145" spans="2:39" ht="12.75">
      <c r="B145" s="58"/>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7"/>
      <c r="AB145" s="67"/>
      <c r="AC145" s="58"/>
      <c r="AD145" s="58"/>
      <c r="AE145" s="58"/>
      <c r="AF145" s="58"/>
      <c r="AG145" s="58"/>
      <c r="AH145" s="58"/>
      <c r="AI145" s="58"/>
      <c r="AJ145" s="58"/>
      <c r="AK145" s="58"/>
      <c r="AL145" s="58"/>
      <c r="AM145" s="58"/>
    </row>
    <row r="146" spans="2:39" ht="12.75">
      <c r="B146" s="58"/>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7"/>
      <c r="AB146" s="67"/>
      <c r="AC146" s="58"/>
      <c r="AD146" s="58"/>
      <c r="AE146" s="58"/>
      <c r="AF146" s="58"/>
      <c r="AG146" s="58"/>
      <c r="AH146" s="58"/>
      <c r="AI146" s="58"/>
      <c r="AJ146" s="58"/>
      <c r="AK146" s="58"/>
      <c r="AL146" s="58"/>
      <c r="AM146" s="58"/>
    </row>
    <row r="147" spans="2:39" ht="12.75">
      <c r="B147" s="58"/>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7"/>
      <c r="AB147" s="67"/>
      <c r="AC147" s="58"/>
      <c r="AD147" s="58"/>
      <c r="AE147" s="58"/>
      <c r="AF147" s="58"/>
      <c r="AG147" s="58"/>
      <c r="AH147" s="58"/>
      <c r="AI147" s="58"/>
      <c r="AJ147" s="58"/>
      <c r="AK147" s="58"/>
      <c r="AL147" s="58"/>
      <c r="AM147" s="58"/>
    </row>
    <row r="148" spans="2:39" ht="12.75">
      <c r="B148" s="58"/>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7"/>
      <c r="AB148" s="67"/>
      <c r="AC148" s="58"/>
      <c r="AD148" s="58"/>
      <c r="AE148" s="58"/>
      <c r="AF148" s="58"/>
      <c r="AG148" s="58"/>
      <c r="AH148" s="58"/>
      <c r="AI148" s="58"/>
      <c r="AJ148" s="58"/>
      <c r="AK148" s="58"/>
      <c r="AL148" s="58"/>
      <c r="AM148" s="58"/>
    </row>
    <row r="149" spans="2:39" ht="12.75">
      <c r="B149" s="58"/>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7"/>
      <c r="AB149" s="67"/>
      <c r="AC149" s="58"/>
      <c r="AD149" s="58"/>
      <c r="AE149" s="58"/>
      <c r="AF149" s="58"/>
      <c r="AG149" s="58"/>
      <c r="AH149" s="58"/>
      <c r="AI149" s="58"/>
      <c r="AJ149" s="58"/>
      <c r="AK149" s="58"/>
      <c r="AL149" s="58"/>
      <c r="AM149" s="58"/>
    </row>
    <row r="150" spans="2:39" ht="12.75">
      <c r="B150" s="58"/>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7"/>
      <c r="AB150" s="67"/>
      <c r="AC150" s="58"/>
      <c r="AD150" s="58"/>
      <c r="AE150" s="58"/>
      <c r="AF150" s="58"/>
      <c r="AG150" s="58"/>
      <c r="AH150" s="58"/>
      <c r="AI150" s="58"/>
      <c r="AJ150" s="58"/>
      <c r="AK150" s="58"/>
      <c r="AL150" s="58"/>
      <c r="AM150" s="58"/>
    </row>
    <row r="151" spans="2:39" ht="12.75">
      <c r="B151" s="58"/>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7"/>
      <c r="AB151" s="67"/>
      <c r="AC151" s="58"/>
      <c r="AD151" s="58"/>
      <c r="AE151" s="58"/>
      <c r="AF151" s="58"/>
      <c r="AG151" s="58"/>
      <c r="AH151" s="58"/>
      <c r="AI151" s="58"/>
      <c r="AJ151" s="58"/>
      <c r="AK151" s="58"/>
      <c r="AL151" s="58"/>
      <c r="AM151" s="58"/>
    </row>
    <row r="152" spans="2:39" ht="12.75">
      <c r="B152" s="58"/>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7"/>
      <c r="AB152" s="67"/>
      <c r="AC152" s="58"/>
      <c r="AD152" s="58"/>
      <c r="AE152" s="58"/>
      <c r="AF152" s="58"/>
      <c r="AG152" s="58"/>
      <c r="AH152" s="58"/>
      <c r="AI152" s="58"/>
      <c r="AJ152" s="58"/>
      <c r="AK152" s="58"/>
      <c r="AL152" s="58"/>
      <c r="AM152" s="58"/>
    </row>
    <row r="153" spans="2:39" ht="12.75">
      <c r="B153" s="58"/>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7"/>
      <c r="AB153" s="67"/>
      <c r="AC153" s="58"/>
      <c r="AD153" s="58"/>
      <c r="AE153" s="58"/>
      <c r="AF153" s="58"/>
      <c r="AG153" s="58"/>
      <c r="AH153" s="58"/>
      <c r="AI153" s="58"/>
      <c r="AJ153" s="58"/>
      <c r="AK153" s="58"/>
      <c r="AL153" s="58"/>
      <c r="AM153" s="58"/>
    </row>
    <row r="154" spans="2:39" ht="12.75">
      <c r="B154" s="58"/>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7"/>
      <c r="AB154" s="67"/>
      <c r="AC154" s="58"/>
      <c r="AD154" s="58"/>
      <c r="AE154" s="58"/>
      <c r="AF154" s="58"/>
      <c r="AG154" s="58"/>
      <c r="AH154" s="58"/>
      <c r="AI154" s="58"/>
      <c r="AJ154" s="58"/>
      <c r="AK154" s="58"/>
      <c r="AL154" s="58"/>
      <c r="AM154" s="58"/>
    </row>
    <row r="155" spans="2:39" ht="12.75">
      <c r="B155" s="58"/>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7"/>
      <c r="AB155" s="67"/>
      <c r="AC155" s="58"/>
      <c r="AD155" s="58"/>
      <c r="AE155" s="58"/>
      <c r="AF155" s="58"/>
      <c r="AG155" s="58"/>
      <c r="AH155" s="58"/>
      <c r="AI155" s="58"/>
      <c r="AJ155" s="58"/>
      <c r="AK155" s="58"/>
      <c r="AL155" s="58"/>
      <c r="AM155" s="58"/>
    </row>
    <row r="156" spans="2:39" ht="12.75">
      <c r="B156" s="58"/>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7"/>
      <c r="AB156" s="67"/>
      <c r="AC156" s="58"/>
      <c r="AD156" s="58"/>
      <c r="AE156" s="58"/>
      <c r="AF156" s="58"/>
      <c r="AG156" s="58"/>
      <c r="AH156" s="58"/>
      <c r="AI156" s="58"/>
      <c r="AJ156" s="58"/>
      <c r="AK156" s="58"/>
      <c r="AL156" s="58"/>
      <c r="AM156" s="58"/>
    </row>
    <row r="157" spans="2:39" ht="12.75">
      <c r="B157" s="58"/>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7"/>
      <c r="AB157" s="67"/>
      <c r="AC157" s="58"/>
      <c r="AD157" s="58"/>
      <c r="AE157" s="58"/>
      <c r="AF157" s="58"/>
      <c r="AG157" s="58"/>
      <c r="AH157" s="58"/>
      <c r="AI157" s="58"/>
      <c r="AJ157" s="58"/>
      <c r="AK157" s="58"/>
      <c r="AL157" s="58"/>
      <c r="AM157" s="58"/>
    </row>
    <row r="158" spans="2:39" ht="12.75">
      <c r="B158" s="58"/>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7"/>
      <c r="AB158" s="67"/>
      <c r="AC158" s="58"/>
      <c r="AD158" s="58"/>
      <c r="AE158" s="58"/>
      <c r="AF158" s="58"/>
      <c r="AG158" s="58"/>
      <c r="AH158" s="58"/>
      <c r="AI158" s="58"/>
      <c r="AJ158" s="58"/>
      <c r="AK158" s="58"/>
      <c r="AL158" s="58"/>
      <c r="AM158" s="58"/>
    </row>
    <row r="159" spans="2:39" ht="12.75">
      <c r="B159" s="58"/>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7"/>
      <c r="AB159" s="67"/>
      <c r="AC159" s="58"/>
      <c r="AD159" s="58"/>
      <c r="AE159" s="58"/>
      <c r="AF159" s="58"/>
      <c r="AG159" s="58"/>
      <c r="AH159" s="58"/>
      <c r="AI159" s="58"/>
      <c r="AJ159" s="58"/>
      <c r="AK159" s="58"/>
      <c r="AL159" s="58"/>
      <c r="AM159" s="58"/>
    </row>
    <row r="160" spans="2:39" ht="12.75">
      <c r="B160" s="58"/>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7"/>
      <c r="AB160" s="67"/>
      <c r="AC160" s="58"/>
      <c r="AD160" s="58"/>
      <c r="AE160" s="58"/>
      <c r="AF160" s="58"/>
      <c r="AG160" s="58"/>
      <c r="AH160" s="58"/>
      <c r="AI160" s="58"/>
      <c r="AJ160" s="58"/>
      <c r="AK160" s="58"/>
      <c r="AL160" s="58"/>
      <c r="AM160" s="58"/>
    </row>
    <row r="161" spans="2:39" ht="12.75">
      <c r="B161" s="58"/>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7"/>
      <c r="AB161" s="67"/>
      <c r="AC161" s="58"/>
      <c r="AD161" s="58"/>
      <c r="AE161" s="58"/>
      <c r="AF161" s="58"/>
      <c r="AG161" s="58"/>
      <c r="AH161" s="58"/>
      <c r="AI161" s="58"/>
      <c r="AJ161" s="58"/>
      <c r="AK161" s="58"/>
      <c r="AL161" s="58"/>
      <c r="AM161" s="58"/>
    </row>
    <row r="162" spans="2:39" ht="12.75">
      <c r="B162" s="58"/>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7"/>
      <c r="AB162" s="67"/>
      <c r="AC162" s="58"/>
      <c r="AD162" s="58"/>
      <c r="AE162" s="58"/>
      <c r="AF162" s="58"/>
      <c r="AG162" s="58"/>
      <c r="AH162" s="58"/>
      <c r="AI162" s="58"/>
      <c r="AJ162" s="58"/>
      <c r="AK162" s="58"/>
      <c r="AL162" s="58"/>
      <c r="AM162" s="58"/>
    </row>
    <row r="163" spans="2:39" ht="12.75">
      <c r="B163" s="58"/>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7"/>
      <c r="AB163" s="67"/>
      <c r="AC163" s="58"/>
      <c r="AD163" s="58"/>
      <c r="AE163" s="58"/>
      <c r="AF163" s="58"/>
      <c r="AG163" s="58"/>
      <c r="AH163" s="58"/>
      <c r="AI163" s="58"/>
      <c r="AJ163" s="58"/>
      <c r="AK163" s="58"/>
      <c r="AL163" s="58"/>
      <c r="AM163" s="58"/>
    </row>
    <row r="164" spans="2:39" ht="12.75">
      <c r="B164" s="58"/>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7"/>
      <c r="AB164" s="67"/>
      <c r="AC164" s="58"/>
      <c r="AD164" s="58"/>
      <c r="AE164" s="58"/>
      <c r="AF164" s="58"/>
      <c r="AG164" s="58"/>
      <c r="AH164" s="58"/>
      <c r="AI164" s="58"/>
      <c r="AJ164" s="58"/>
      <c r="AK164" s="58"/>
      <c r="AL164" s="58"/>
      <c r="AM164" s="58"/>
    </row>
    <row r="165" spans="2:39" ht="12.75">
      <c r="B165" s="58"/>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7"/>
      <c r="AB165" s="67"/>
      <c r="AC165" s="58"/>
      <c r="AD165" s="58"/>
      <c r="AE165" s="58"/>
      <c r="AF165" s="58"/>
      <c r="AG165" s="58"/>
      <c r="AH165" s="58"/>
      <c r="AI165" s="58"/>
      <c r="AJ165" s="58"/>
      <c r="AK165" s="58"/>
      <c r="AL165" s="58"/>
      <c r="AM165" s="58"/>
    </row>
    <row r="166" spans="2:39" ht="12.75">
      <c r="B166" s="58"/>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7"/>
      <c r="AB166" s="67"/>
      <c r="AC166" s="58"/>
      <c r="AD166" s="58"/>
      <c r="AE166" s="58"/>
      <c r="AF166" s="58"/>
      <c r="AG166" s="58"/>
      <c r="AH166" s="58"/>
      <c r="AI166" s="58"/>
      <c r="AJ166" s="58"/>
      <c r="AK166" s="58"/>
      <c r="AL166" s="58"/>
      <c r="AM166" s="58"/>
    </row>
    <row r="167" spans="2:39" ht="12.75">
      <c r="B167" s="58"/>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7"/>
      <c r="AB167" s="67"/>
      <c r="AC167" s="58"/>
      <c r="AD167" s="58"/>
      <c r="AE167" s="58"/>
      <c r="AF167" s="58"/>
      <c r="AG167" s="58"/>
      <c r="AH167" s="58"/>
      <c r="AI167" s="58"/>
      <c r="AJ167" s="58"/>
      <c r="AK167" s="58"/>
      <c r="AL167" s="58"/>
      <c r="AM167" s="58"/>
    </row>
    <row r="168" spans="2:39" ht="12.75">
      <c r="B168" s="58"/>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7"/>
      <c r="AB168" s="67"/>
      <c r="AC168" s="58"/>
      <c r="AD168" s="58"/>
      <c r="AE168" s="58"/>
      <c r="AF168" s="58"/>
      <c r="AG168" s="58"/>
      <c r="AH168" s="58"/>
      <c r="AI168" s="58"/>
      <c r="AJ168" s="58"/>
      <c r="AK168" s="58"/>
      <c r="AL168" s="58"/>
      <c r="AM168" s="58"/>
    </row>
    <row r="169" spans="2:39" ht="12.75">
      <c r="B169" s="58"/>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7"/>
      <c r="AB169" s="67"/>
      <c r="AC169" s="58"/>
      <c r="AD169" s="58"/>
      <c r="AE169" s="58"/>
      <c r="AF169" s="58"/>
      <c r="AG169" s="58"/>
      <c r="AH169" s="58"/>
      <c r="AI169" s="58"/>
      <c r="AJ169" s="58"/>
      <c r="AK169" s="58"/>
      <c r="AL169" s="58"/>
      <c r="AM169" s="58"/>
    </row>
    <row r="170" spans="2:39" ht="12.75">
      <c r="B170" s="58"/>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7"/>
      <c r="AB170" s="67"/>
      <c r="AC170" s="58"/>
      <c r="AD170" s="58"/>
      <c r="AE170" s="58"/>
      <c r="AF170" s="58"/>
      <c r="AG170" s="58"/>
      <c r="AH170" s="58"/>
      <c r="AI170" s="58"/>
      <c r="AJ170" s="58"/>
      <c r="AK170" s="58"/>
      <c r="AL170" s="58"/>
      <c r="AM170" s="58"/>
    </row>
    <row r="171" spans="2:39" ht="12.75">
      <c r="B171" s="58"/>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7"/>
      <c r="AB171" s="67"/>
      <c r="AC171" s="58"/>
      <c r="AD171" s="58"/>
      <c r="AE171" s="58"/>
      <c r="AF171" s="58"/>
      <c r="AG171" s="58"/>
      <c r="AH171" s="58"/>
      <c r="AI171" s="58"/>
      <c r="AJ171" s="58"/>
      <c r="AK171" s="58"/>
      <c r="AL171" s="58"/>
      <c r="AM171" s="58"/>
    </row>
    <row r="172" spans="2:39" ht="12.75">
      <c r="B172" s="58"/>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7"/>
      <c r="AB172" s="67"/>
      <c r="AC172" s="58"/>
      <c r="AD172" s="58"/>
      <c r="AE172" s="58"/>
      <c r="AF172" s="58"/>
      <c r="AG172" s="58"/>
      <c r="AH172" s="58"/>
      <c r="AI172" s="58"/>
      <c r="AJ172" s="58"/>
      <c r="AK172" s="58"/>
      <c r="AL172" s="58"/>
      <c r="AM172" s="58"/>
    </row>
    <row r="173" spans="2:39" ht="12.75">
      <c r="B173" s="58"/>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7"/>
      <c r="AB173" s="67"/>
      <c r="AC173" s="58"/>
      <c r="AD173" s="58"/>
      <c r="AE173" s="58"/>
      <c r="AF173" s="58"/>
      <c r="AG173" s="58"/>
      <c r="AH173" s="58"/>
      <c r="AI173" s="58"/>
      <c r="AJ173" s="58"/>
      <c r="AK173" s="58"/>
      <c r="AL173" s="58"/>
      <c r="AM173" s="58"/>
    </row>
    <row r="174" spans="2:39" ht="12.75">
      <c r="B174" s="58"/>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7"/>
      <c r="AB174" s="67"/>
      <c r="AC174" s="58"/>
      <c r="AD174" s="58"/>
      <c r="AE174" s="58"/>
      <c r="AF174" s="58"/>
      <c r="AG174" s="58"/>
      <c r="AH174" s="58"/>
      <c r="AI174" s="58"/>
      <c r="AJ174" s="58"/>
      <c r="AK174" s="58"/>
      <c r="AL174" s="58"/>
      <c r="AM174" s="58"/>
    </row>
    <row r="175" spans="2:39" ht="12.75">
      <c r="B175" s="58"/>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7"/>
      <c r="AB175" s="67"/>
      <c r="AC175" s="58"/>
      <c r="AD175" s="58"/>
      <c r="AE175" s="58"/>
      <c r="AF175" s="58"/>
      <c r="AG175" s="58"/>
      <c r="AH175" s="58"/>
      <c r="AI175" s="58"/>
      <c r="AJ175" s="58"/>
      <c r="AK175" s="58"/>
      <c r="AL175" s="58"/>
      <c r="AM175" s="58"/>
    </row>
    <row r="176" spans="2:39" ht="12.75">
      <c r="B176" s="58"/>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7"/>
      <c r="AB176" s="67"/>
      <c r="AC176" s="58"/>
      <c r="AD176" s="58"/>
      <c r="AE176" s="58"/>
      <c r="AF176" s="58"/>
      <c r="AG176" s="58"/>
      <c r="AH176" s="58"/>
      <c r="AI176" s="58"/>
      <c r="AJ176" s="58"/>
      <c r="AK176" s="58"/>
      <c r="AL176" s="58"/>
      <c r="AM176" s="58"/>
    </row>
    <row r="177" spans="2:39" ht="12.75">
      <c r="B177" s="58"/>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7"/>
      <c r="AB177" s="67"/>
      <c r="AC177" s="58"/>
      <c r="AD177" s="58"/>
      <c r="AE177" s="58"/>
      <c r="AF177" s="58"/>
      <c r="AG177" s="58"/>
      <c r="AH177" s="58"/>
      <c r="AI177" s="58"/>
      <c r="AJ177" s="58"/>
      <c r="AK177" s="58"/>
      <c r="AL177" s="58"/>
      <c r="AM177" s="58"/>
    </row>
    <row r="178" spans="2:39" ht="12.75">
      <c r="B178" s="58"/>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7"/>
      <c r="AB178" s="67"/>
      <c r="AC178" s="58"/>
      <c r="AD178" s="58"/>
      <c r="AE178" s="58"/>
      <c r="AF178" s="58"/>
      <c r="AG178" s="58"/>
      <c r="AH178" s="58"/>
      <c r="AI178" s="58"/>
      <c r="AJ178" s="58"/>
      <c r="AK178" s="58"/>
      <c r="AL178" s="58"/>
      <c r="AM178" s="58"/>
    </row>
    <row r="179" spans="2:39" ht="12.75">
      <c r="B179" s="58"/>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7"/>
      <c r="AB179" s="67"/>
      <c r="AC179" s="58"/>
      <c r="AD179" s="58"/>
      <c r="AE179" s="58"/>
      <c r="AF179" s="58"/>
      <c r="AG179" s="58"/>
      <c r="AH179" s="58"/>
      <c r="AI179" s="58"/>
      <c r="AJ179" s="58"/>
      <c r="AK179" s="58"/>
      <c r="AL179" s="58"/>
      <c r="AM179" s="58"/>
    </row>
    <row r="180" spans="2:39" ht="12.75">
      <c r="B180" s="58"/>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7"/>
      <c r="AB180" s="67"/>
      <c r="AC180" s="58"/>
      <c r="AD180" s="58"/>
      <c r="AE180" s="58"/>
      <c r="AF180" s="58"/>
      <c r="AG180" s="58"/>
      <c r="AH180" s="58"/>
      <c r="AI180" s="58"/>
      <c r="AJ180" s="58"/>
      <c r="AK180" s="58"/>
      <c r="AL180" s="58"/>
      <c r="AM180" s="58"/>
    </row>
    <row r="181" spans="2:39" ht="12.75">
      <c r="B181" s="58"/>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7"/>
      <c r="AB181" s="67"/>
      <c r="AC181" s="58"/>
      <c r="AD181" s="58"/>
      <c r="AE181" s="58"/>
      <c r="AF181" s="58"/>
      <c r="AG181" s="58"/>
      <c r="AH181" s="58"/>
      <c r="AI181" s="58"/>
      <c r="AJ181" s="58"/>
      <c r="AK181" s="58"/>
      <c r="AL181" s="58"/>
      <c r="AM181" s="58"/>
    </row>
    <row r="182" spans="2:39" ht="12.75">
      <c r="B182" s="58"/>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7"/>
      <c r="AB182" s="67"/>
      <c r="AC182" s="58"/>
      <c r="AD182" s="58"/>
      <c r="AE182" s="58"/>
      <c r="AF182" s="58"/>
      <c r="AG182" s="58"/>
      <c r="AH182" s="58"/>
      <c r="AI182" s="58"/>
      <c r="AJ182" s="58"/>
      <c r="AK182" s="58"/>
      <c r="AL182" s="58"/>
      <c r="AM182" s="58"/>
    </row>
    <row r="183" spans="2:39" ht="12.75">
      <c r="B183" s="58"/>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7"/>
      <c r="AB183" s="67"/>
      <c r="AC183" s="58"/>
      <c r="AD183" s="58"/>
      <c r="AE183" s="58"/>
      <c r="AF183" s="58"/>
      <c r="AG183" s="58"/>
      <c r="AH183" s="58"/>
      <c r="AI183" s="58"/>
      <c r="AJ183" s="58"/>
      <c r="AK183" s="58"/>
      <c r="AL183" s="58"/>
      <c r="AM183" s="58"/>
    </row>
    <row r="184" spans="2:39" ht="12.75">
      <c r="B184" s="58"/>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7"/>
      <c r="AB184" s="67"/>
      <c r="AC184" s="58"/>
      <c r="AD184" s="58"/>
      <c r="AE184" s="58"/>
      <c r="AF184" s="58"/>
      <c r="AG184" s="58"/>
      <c r="AH184" s="58"/>
      <c r="AI184" s="58"/>
      <c r="AJ184" s="58"/>
      <c r="AK184" s="58"/>
      <c r="AL184" s="58"/>
      <c r="AM184" s="58"/>
    </row>
    <row r="185" spans="2:39" ht="12.75">
      <c r="B185" s="58"/>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7"/>
      <c r="AB185" s="67"/>
      <c r="AC185" s="58"/>
      <c r="AD185" s="58"/>
      <c r="AE185" s="58"/>
      <c r="AF185" s="58"/>
      <c r="AG185" s="58"/>
      <c r="AH185" s="58"/>
      <c r="AI185" s="58"/>
      <c r="AJ185" s="58"/>
      <c r="AK185" s="58"/>
      <c r="AL185" s="58"/>
      <c r="AM185" s="58"/>
    </row>
    <row r="186" spans="2:39" ht="12.75">
      <c r="B186" s="58"/>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7"/>
      <c r="AB186" s="67"/>
      <c r="AC186" s="58"/>
      <c r="AD186" s="58"/>
      <c r="AE186" s="58"/>
      <c r="AF186" s="58"/>
      <c r="AG186" s="58"/>
      <c r="AH186" s="58"/>
      <c r="AI186" s="58"/>
      <c r="AJ186" s="58"/>
      <c r="AK186" s="58"/>
      <c r="AL186" s="58"/>
      <c r="AM186" s="58"/>
    </row>
    <row r="187" spans="2:39" ht="12.75">
      <c r="B187" s="58"/>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7"/>
      <c r="AB187" s="67"/>
      <c r="AC187" s="58"/>
      <c r="AD187" s="58"/>
      <c r="AE187" s="58"/>
      <c r="AF187" s="58"/>
      <c r="AG187" s="58"/>
      <c r="AH187" s="58"/>
      <c r="AI187" s="58"/>
      <c r="AJ187" s="58"/>
      <c r="AK187" s="58"/>
      <c r="AL187" s="58"/>
      <c r="AM187" s="58"/>
    </row>
    <row r="188" spans="2:39" ht="12.75">
      <c r="B188" s="58"/>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7"/>
      <c r="AB188" s="67"/>
      <c r="AC188" s="58"/>
      <c r="AD188" s="58"/>
      <c r="AE188" s="58"/>
      <c r="AF188" s="58"/>
      <c r="AG188" s="58"/>
      <c r="AH188" s="58"/>
      <c r="AI188" s="58"/>
      <c r="AJ188" s="58"/>
      <c r="AK188" s="58"/>
      <c r="AL188" s="58"/>
      <c r="AM188" s="58"/>
    </row>
    <row r="189" spans="2:39" ht="12.75">
      <c r="B189" s="58"/>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7"/>
      <c r="AB189" s="67"/>
      <c r="AC189" s="58"/>
      <c r="AD189" s="58"/>
      <c r="AE189" s="58"/>
      <c r="AF189" s="58"/>
      <c r="AG189" s="58"/>
      <c r="AH189" s="58"/>
      <c r="AI189" s="58"/>
      <c r="AJ189" s="58"/>
      <c r="AK189" s="58"/>
      <c r="AL189" s="58"/>
      <c r="AM189" s="58"/>
    </row>
    <row r="190" spans="2:39" ht="12.75">
      <c r="B190" s="58"/>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7"/>
      <c r="AB190" s="67"/>
      <c r="AC190" s="58"/>
      <c r="AD190" s="58"/>
      <c r="AE190" s="58"/>
      <c r="AF190" s="58"/>
      <c r="AG190" s="58"/>
      <c r="AH190" s="58"/>
      <c r="AI190" s="58"/>
      <c r="AJ190" s="58"/>
      <c r="AK190" s="58"/>
      <c r="AL190" s="58"/>
      <c r="AM190" s="58"/>
    </row>
    <row r="191" spans="2:39" ht="12.75">
      <c r="B191" s="58"/>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7"/>
      <c r="AB191" s="67"/>
      <c r="AC191" s="58"/>
      <c r="AD191" s="58"/>
      <c r="AE191" s="58"/>
      <c r="AF191" s="58"/>
      <c r="AG191" s="58"/>
      <c r="AH191" s="58"/>
      <c r="AI191" s="58"/>
      <c r="AJ191" s="58"/>
      <c r="AK191" s="58"/>
      <c r="AL191" s="58"/>
      <c r="AM191" s="58"/>
    </row>
    <row r="192" spans="2:39" ht="12.75">
      <c r="B192" s="58"/>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7"/>
      <c r="AB192" s="67"/>
      <c r="AC192" s="58"/>
      <c r="AD192" s="58"/>
      <c r="AE192" s="58"/>
      <c r="AF192" s="58"/>
      <c r="AG192" s="58"/>
      <c r="AH192" s="58"/>
      <c r="AI192" s="58"/>
      <c r="AJ192" s="58"/>
      <c r="AK192" s="58"/>
      <c r="AL192" s="58"/>
      <c r="AM192" s="58"/>
    </row>
    <row r="193" spans="2:39" ht="12.75">
      <c r="B193" s="58"/>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7"/>
      <c r="AB193" s="67"/>
      <c r="AC193" s="58"/>
      <c r="AD193" s="58"/>
      <c r="AE193" s="58"/>
      <c r="AF193" s="58"/>
      <c r="AG193" s="58"/>
      <c r="AH193" s="58"/>
      <c r="AI193" s="58"/>
      <c r="AJ193" s="58"/>
      <c r="AK193" s="58"/>
      <c r="AL193" s="58"/>
      <c r="AM193" s="58"/>
    </row>
    <row r="194" spans="2:39" ht="12.75">
      <c r="B194" s="58"/>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7"/>
      <c r="AB194" s="67"/>
      <c r="AC194" s="58"/>
      <c r="AD194" s="58"/>
      <c r="AE194" s="58"/>
      <c r="AF194" s="58"/>
      <c r="AG194" s="58"/>
      <c r="AH194" s="58"/>
      <c r="AI194" s="58"/>
      <c r="AJ194" s="58"/>
      <c r="AK194" s="58"/>
      <c r="AL194" s="58"/>
      <c r="AM194" s="58"/>
    </row>
    <row r="195" spans="2:39" ht="12.75">
      <c r="B195" s="58"/>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7"/>
      <c r="AB195" s="67"/>
      <c r="AC195" s="58"/>
      <c r="AD195" s="58"/>
      <c r="AE195" s="58"/>
      <c r="AF195" s="58"/>
      <c r="AG195" s="58"/>
      <c r="AH195" s="58"/>
      <c r="AI195" s="58"/>
      <c r="AJ195" s="58"/>
      <c r="AK195" s="58"/>
      <c r="AL195" s="58"/>
      <c r="AM195" s="58"/>
    </row>
    <row r="196" spans="2:39" ht="12.75">
      <c r="B196" s="58"/>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7"/>
      <c r="AB196" s="67"/>
      <c r="AC196" s="58"/>
      <c r="AD196" s="58"/>
      <c r="AE196" s="58"/>
      <c r="AF196" s="58"/>
      <c r="AG196" s="58"/>
      <c r="AH196" s="58"/>
      <c r="AI196" s="58"/>
      <c r="AJ196" s="58"/>
      <c r="AK196" s="58"/>
      <c r="AL196" s="58"/>
      <c r="AM196" s="58"/>
    </row>
    <row r="197" spans="2:39" ht="12.75">
      <c r="B197" s="58"/>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7"/>
      <c r="AB197" s="67"/>
      <c r="AC197" s="58"/>
      <c r="AD197" s="58"/>
      <c r="AE197" s="58"/>
      <c r="AF197" s="58"/>
      <c r="AG197" s="58"/>
      <c r="AH197" s="58"/>
      <c r="AI197" s="58"/>
      <c r="AJ197" s="58"/>
      <c r="AK197" s="58"/>
      <c r="AL197" s="58"/>
      <c r="AM197" s="58"/>
    </row>
    <row r="198" spans="2:39" ht="12.75">
      <c r="B198" s="58"/>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7"/>
      <c r="AB198" s="67"/>
      <c r="AC198" s="58"/>
      <c r="AD198" s="58"/>
      <c r="AE198" s="58"/>
      <c r="AF198" s="58"/>
      <c r="AG198" s="58"/>
      <c r="AH198" s="58"/>
      <c r="AI198" s="58"/>
      <c r="AJ198" s="58"/>
      <c r="AK198" s="58"/>
      <c r="AL198" s="58"/>
      <c r="AM198" s="58"/>
    </row>
    <row r="199" spans="2:39" ht="12.75">
      <c r="B199" s="58"/>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7"/>
      <c r="AB199" s="67"/>
      <c r="AC199" s="58"/>
      <c r="AD199" s="58"/>
      <c r="AE199" s="58"/>
      <c r="AF199" s="58"/>
      <c r="AG199" s="58"/>
      <c r="AH199" s="58"/>
      <c r="AI199" s="58"/>
      <c r="AJ199" s="58"/>
      <c r="AK199" s="58"/>
      <c r="AL199" s="58"/>
      <c r="AM199" s="58"/>
    </row>
    <row r="200" spans="2:39" ht="12.75">
      <c r="B200" s="58"/>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7"/>
      <c r="AB200" s="67"/>
      <c r="AC200" s="58"/>
      <c r="AD200" s="58"/>
      <c r="AE200" s="58"/>
      <c r="AF200" s="58"/>
      <c r="AG200" s="58"/>
      <c r="AH200" s="58"/>
      <c r="AI200" s="58"/>
      <c r="AJ200" s="58"/>
      <c r="AK200" s="58"/>
      <c r="AL200" s="58"/>
      <c r="AM200" s="58"/>
    </row>
    <row r="201" spans="2:39" ht="12.75">
      <c r="B201" s="58"/>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7"/>
      <c r="AB201" s="67"/>
      <c r="AC201" s="58"/>
      <c r="AD201" s="58"/>
      <c r="AE201" s="58"/>
      <c r="AF201" s="58"/>
      <c r="AG201" s="58"/>
      <c r="AH201" s="58"/>
      <c r="AI201" s="58"/>
      <c r="AJ201" s="58"/>
      <c r="AK201" s="58"/>
      <c r="AL201" s="58"/>
      <c r="AM201" s="58"/>
    </row>
    <row r="202" spans="2:39" ht="12.75">
      <c r="B202" s="58"/>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7"/>
      <c r="AB202" s="67"/>
      <c r="AC202" s="58"/>
      <c r="AD202" s="58"/>
      <c r="AE202" s="58"/>
      <c r="AF202" s="58"/>
      <c r="AG202" s="58"/>
      <c r="AH202" s="58"/>
      <c r="AI202" s="58"/>
      <c r="AJ202" s="58"/>
      <c r="AK202" s="58"/>
      <c r="AL202" s="58"/>
      <c r="AM202" s="58"/>
    </row>
    <row r="203" spans="2:39" ht="12.75">
      <c r="B203" s="58"/>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7"/>
      <c r="AB203" s="67"/>
      <c r="AC203" s="58"/>
      <c r="AD203" s="58"/>
      <c r="AE203" s="58"/>
      <c r="AF203" s="58"/>
      <c r="AG203" s="58"/>
      <c r="AH203" s="58"/>
      <c r="AI203" s="58"/>
      <c r="AJ203" s="58"/>
      <c r="AK203" s="58"/>
      <c r="AL203" s="58"/>
      <c r="AM203" s="58"/>
    </row>
    <row r="204" spans="2:39" ht="12.75">
      <c r="B204" s="58"/>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7"/>
      <c r="AB204" s="67"/>
      <c r="AC204" s="58"/>
      <c r="AD204" s="58"/>
      <c r="AE204" s="58"/>
      <c r="AF204" s="58"/>
      <c r="AG204" s="58"/>
      <c r="AH204" s="58"/>
      <c r="AI204" s="58"/>
      <c r="AJ204" s="58"/>
      <c r="AK204" s="58"/>
      <c r="AL204" s="58"/>
      <c r="AM204" s="58"/>
    </row>
    <row r="205" spans="2:39" ht="12.75">
      <c r="B205" s="58"/>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7"/>
      <c r="AB205" s="67"/>
      <c r="AC205" s="58"/>
      <c r="AD205" s="58"/>
      <c r="AE205" s="58"/>
      <c r="AF205" s="58"/>
      <c r="AG205" s="58"/>
      <c r="AH205" s="58"/>
      <c r="AI205" s="58"/>
      <c r="AJ205" s="58"/>
      <c r="AK205" s="58"/>
      <c r="AL205" s="58"/>
      <c r="AM205" s="58"/>
    </row>
    <row r="206" spans="2:39" ht="12.75">
      <c r="B206" s="58"/>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7"/>
      <c r="AB206" s="67"/>
      <c r="AC206" s="58"/>
      <c r="AD206" s="58"/>
      <c r="AE206" s="58"/>
      <c r="AF206" s="58"/>
      <c r="AG206" s="58"/>
      <c r="AH206" s="58"/>
      <c r="AI206" s="58"/>
      <c r="AJ206" s="58"/>
      <c r="AK206" s="58"/>
      <c r="AL206" s="58"/>
      <c r="AM206" s="58"/>
    </row>
    <row r="207" spans="2:39" ht="12.75">
      <c r="B207" s="58"/>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7"/>
      <c r="AB207" s="67"/>
      <c r="AC207" s="58"/>
      <c r="AD207" s="58"/>
      <c r="AE207" s="58"/>
      <c r="AF207" s="58"/>
      <c r="AG207" s="58"/>
      <c r="AH207" s="58"/>
      <c r="AI207" s="58"/>
      <c r="AJ207" s="58"/>
      <c r="AK207" s="58"/>
      <c r="AL207" s="58"/>
      <c r="AM207" s="58"/>
    </row>
    <row r="208" spans="2:39" ht="12.75">
      <c r="B208" s="58"/>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7"/>
      <c r="AB208" s="67"/>
      <c r="AC208" s="58"/>
      <c r="AD208" s="58"/>
      <c r="AE208" s="58"/>
      <c r="AF208" s="58"/>
      <c r="AG208" s="58"/>
      <c r="AH208" s="58"/>
      <c r="AI208" s="58"/>
      <c r="AJ208" s="58"/>
      <c r="AK208" s="58"/>
      <c r="AL208" s="58"/>
      <c r="AM208" s="58"/>
    </row>
    <row r="209" spans="2:39" ht="12.75">
      <c r="B209" s="58"/>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7"/>
      <c r="AB209" s="67"/>
      <c r="AC209" s="58"/>
      <c r="AD209" s="58"/>
      <c r="AE209" s="58"/>
      <c r="AF209" s="58"/>
      <c r="AG209" s="58"/>
      <c r="AH209" s="58"/>
      <c r="AI209" s="58"/>
      <c r="AJ209" s="58"/>
      <c r="AK209" s="58"/>
      <c r="AL209" s="58"/>
      <c r="AM209" s="58"/>
    </row>
    <row r="210" spans="2:39" ht="12.75">
      <c r="B210" s="58"/>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7"/>
      <c r="AB210" s="67"/>
      <c r="AC210" s="58"/>
      <c r="AD210" s="58"/>
      <c r="AE210" s="58"/>
      <c r="AF210" s="58"/>
      <c r="AG210" s="58"/>
      <c r="AH210" s="58"/>
      <c r="AI210" s="58"/>
      <c r="AJ210" s="58"/>
      <c r="AK210" s="58"/>
      <c r="AL210" s="58"/>
      <c r="AM210" s="58"/>
    </row>
    <row r="211" spans="2:39" ht="12.75">
      <c r="B211" s="58"/>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7"/>
      <c r="AB211" s="67"/>
      <c r="AC211" s="58"/>
      <c r="AD211" s="58"/>
      <c r="AE211" s="58"/>
      <c r="AF211" s="58"/>
      <c r="AG211" s="58"/>
      <c r="AH211" s="58"/>
      <c r="AI211" s="58"/>
      <c r="AJ211" s="58"/>
      <c r="AK211" s="58"/>
      <c r="AL211" s="58"/>
      <c r="AM211" s="58"/>
    </row>
    <row r="212" spans="2:39" ht="12.75">
      <c r="B212" s="58"/>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7"/>
      <c r="AB212" s="67"/>
      <c r="AC212" s="58"/>
      <c r="AD212" s="58"/>
      <c r="AE212" s="58"/>
      <c r="AF212" s="58"/>
      <c r="AG212" s="58"/>
      <c r="AH212" s="58"/>
      <c r="AI212" s="58"/>
      <c r="AJ212" s="58"/>
      <c r="AK212" s="58"/>
      <c r="AL212" s="58"/>
      <c r="AM212" s="58"/>
    </row>
    <row r="213" spans="2:39" ht="12.75">
      <c r="B213" s="58"/>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7"/>
      <c r="AB213" s="67"/>
      <c r="AC213" s="58"/>
      <c r="AD213" s="58"/>
      <c r="AE213" s="58"/>
      <c r="AF213" s="58"/>
      <c r="AG213" s="58"/>
      <c r="AH213" s="58"/>
      <c r="AI213" s="58"/>
      <c r="AJ213" s="58"/>
      <c r="AK213" s="58"/>
      <c r="AL213" s="58"/>
      <c r="AM213" s="58"/>
    </row>
    <row r="214" spans="2:39" ht="12.75">
      <c r="B214" s="58"/>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7"/>
      <c r="AB214" s="67"/>
      <c r="AC214" s="58"/>
      <c r="AD214" s="58"/>
      <c r="AE214" s="58"/>
      <c r="AF214" s="58"/>
      <c r="AG214" s="58"/>
      <c r="AH214" s="58"/>
      <c r="AI214" s="58"/>
      <c r="AJ214" s="58"/>
      <c r="AK214" s="58"/>
      <c r="AL214" s="58"/>
      <c r="AM214" s="58"/>
    </row>
    <row r="215" spans="2:39" ht="12.75">
      <c r="B215" s="58"/>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7"/>
      <c r="AB215" s="67"/>
      <c r="AC215" s="58"/>
      <c r="AD215" s="58"/>
      <c r="AE215" s="58"/>
      <c r="AF215" s="58"/>
      <c r="AG215" s="58"/>
      <c r="AH215" s="58"/>
      <c r="AI215" s="58"/>
      <c r="AJ215" s="58"/>
      <c r="AK215" s="58"/>
      <c r="AL215" s="58"/>
      <c r="AM215" s="58"/>
    </row>
    <row r="216" spans="2:39" ht="12.75">
      <c r="B216" s="58"/>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7"/>
      <c r="AB216" s="67"/>
      <c r="AC216" s="58"/>
      <c r="AD216" s="58"/>
      <c r="AE216" s="58"/>
      <c r="AF216" s="58"/>
      <c r="AG216" s="58"/>
      <c r="AH216" s="58"/>
      <c r="AI216" s="58"/>
      <c r="AJ216" s="58"/>
      <c r="AK216" s="58"/>
      <c r="AL216" s="58"/>
      <c r="AM216" s="58"/>
    </row>
    <row r="217" spans="2:39" ht="12.75">
      <c r="B217" s="58"/>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7"/>
      <c r="AB217" s="67"/>
      <c r="AC217" s="58"/>
      <c r="AD217" s="58"/>
      <c r="AE217" s="58"/>
      <c r="AF217" s="58"/>
      <c r="AG217" s="58"/>
      <c r="AH217" s="58"/>
      <c r="AI217" s="58"/>
      <c r="AJ217" s="58"/>
      <c r="AK217" s="58"/>
      <c r="AL217" s="58"/>
      <c r="AM217" s="58"/>
    </row>
    <row r="218" spans="2:39" ht="12.75">
      <c r="B218" s="58"/>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7"/>
      <c r="AB218" s="67"/>
      <c r="AC218" s="58"/>
      <c r="AD218" s="58"/>
      <c r="AE218" s="58"/>
      <c r="AF218" s="58"/>
      <c r="AG218" s="58"/>
      <c r="AH218" s="58"/>
      <c r="AI218" s="58"/>
      <c r="AJ218" s="58"/>
      <c r="AK218" s="58"/>
      <c r="AL218" s="58"/>
      <c r="AM218" s="58"/>
    </row>
    <row r="219" spans="2:39" ht="12.75">
      <c r="B219" s="58"/>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7"/>
      <c r="AB219" s="67"/>
      <c r="AC219" s="58"/>
      <c r="AD219" s="58"/>
      <c r="AE219" s="58"/>
      <c r="AF219" s="58"/>
      <c r="AG219" s="58"/>
      <c r="AH219" s="58"/>
      <c r="AI219" s="58"/>
      <c r="AJ219" s="58"/>
      <c r="AK219" s="58"/>
      <c r="AL219" s="58"/>
      <c r="AM219" s="58"/>
    </row>
    <row r="220" spans="2:39" ht="12.75">
      <c r="B220" s="58"/>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7"/>
      <c r="AB220" s="67"/>
      <c r="AC220" s="58"/>
      <c r="AD220" s="58"/>
      <c r="AE220" s="58"/>
      <c r="AF220" s="58"/>
      <c r="AG220" s="58"/>
      <c r="AH220" s="58"/>
      <c r="AI220" s="58"/>
      <c r="AJ220" s="58"/>
      <c r="AK220" s="58"/>
      <c r="AL220" s="58"/>
      <c r="AM220" s="58"/>
    </row>
    <row r="221" spans="2:39" ht="12.75">
      <c r="B221" s="58"/>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7"/>
      <c r="AB221" s="67"/>
      <c r="AC221" s="58"/>
      <c r="AD221" s="58"/>
      <c r="AE221" s="58"/>
      <c r="AF221" s="58"/>
      <c r="AG221" s="58"/>
      <c r="AH221" s="58"/>
      <c r="AI221" s="58"/>
      <c r="AJ221" s="58"/>
      <c r="AK221" s="58"/>
      <c r="AL221" s="58"/>
      <c r="AM221" s="58"/>
    </row>
    <row r="222" spans="2:39" ht="12.75">
      <c r="B222" s="58"/>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7"/>
      <c r="AB222" s="67"/>
      <c r="AC222" s="58"/>
      <c r="AD222" s="58"/>
      <c r="AE222" s="58"/>
      <c r="AF222" s="58"/>
      <c r="AG222" s="58"/>
      <c r="AH222" s="58"/>
      <c r="AI222" s="58"/>
      <c r="AJ222" s="58"/>
      <c r="AK222" s="58"/>
      <c r="AL222" s="58"/>
      <c r="AM222" s="58"/>
    </row>
    <row r="223" spans="2:39" ht="12.75">
      <c r="B223" s="58"/>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7"/>
      <c r="AB223" s="67"/>
      <c r="AC223" s="58"/>
      <c r="AD223" s="58"/>
      <c r="AE223" s="58"/>
      <c r="AF223" s="58"/>
      <c r="AG223" s="58"/>
      <c r="AH223" s="58"/>
      <c r="AI223" s="58"/>
      <c r="AJ223" s="58"/>
      <c r="AK223" s="58"/>
      <c r="AL223" s="58"/>
      <c r="AM223" s="58"/>
    </row>
    <row r="224" spans="2:39" ht="12.75">
      <c r="B224" s="58"/>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7"/>
      <c r="AB224" s="67"/>
      <c r="AC224" s="58"/>
      <c r="AD224" s="58"/>
      <c r="AE224" s="58"/>
      <c r="AF224" s="58"/>
      <c r="AG224" s="58"/>
      <c r="AH224" s="58"/>
      <c r="AI224" s="58"/>
      <c r="AJ224" s="58"/>
      <c r="AK224" s="58"/>
      <c r="AL224" s="58"/>
      <c r="AM224" s="58"/>
    </row>
    <row r="225" spans="2:39" ht="12.75">
      <c r="B225" s="58"/>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7"/>
      <c r="AB225" s="67"/>
      <c r="AC225" s="58"/>
      <c r="AD225" s="58"/>
      <c r="AE225" s="58"/>
      <c r="AF225" s="58"/>
      <c r="AG225" s="58"/>
      <c r="AH225" s="58"/>
      <c r="AI225" s="58"/>
      <c r="AJ225" s="58"/>
      <c r="AK225" s="58"/>
      <c r="AL225" s="58"/>
      <c r="AM225" s="58"/>
    </row>
    <row r="226" spans="2:39" ht="12.75">
      <c r="B226" s="58"/>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7"/>
      <c r="AB226" s="67"/>
      <c r="AC226" s="58"/>
      <c r="AD226" s="58"/>
      <c r="AE226" s="58"/>
      <c r="AF226" s="58"/>
      <c r="AG226" s="58"/>
      <c r="AH226" s="58"/>
      <c r="AI226" s="58"/>
      <c r="AJ226" s="58"/>
      <c r="AK226" s="58"/>
      <c r="AL226" s="58"/>
      <c r="AM226" s="58"/>
    </row>
    <row r="227" spans="2:39" ht="12.75">
      <c r="B227" s="58"/>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7"/>
      <c r="AB227" s="67"/>
      <c r="AC227" s="58"/>
      <c r="AD227" s="58"/>
      <c r="AE227" s="58"/>
      <c r="AF227" s="58"/>
      <c r="AG227" s="58"/>
      <c r="AH227" s="58"/>
      <c r="AI227" s="58"/>
      <c r="AJ227" s="58"/>
      <c r="AK227" s="58"/>
      <c r="AL227" s="58"/>
      <c r="AM227" s="58"/>
    </row>
    <row r="228" spans="2:39" ht="12.75">
      <c r="B228" s="58"/>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7"/>
      <c r="AB228" s="67"/>
      <c r="AC228" s="58"/>
      <c r="AD228" s="58"/>
      <c r="AE228" s="58"/>
      <c r="AF228" s="58"/>
      <c r="AG228" s="58"/>
      <c r="AH228" s="58"/>
      <c r="AI228" s="58"/>
      <c r="AJ228" s="58"/>
      <c r="AK228" s="58"/>
      <c r="AL228" s="58"/>
      <c r="AM228" s="58"/>
    </row>
    <row r="229" spans="2:39" ht="12.75">
      <c r="B229" s="58"/>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7"/>
      <c r="AB229" s="67"/>
      <c r="AC229" s="58"/>
      <c r="AD229" s="58"/>
      <c r="AE229" s="58"/>
      <c r="AF229" s="58"/>
      <c r="AG229" s="58"/>
      <c r="AH229" s="58"/>
      <c r="AI229" s="58"/>
      <c r="AJ229" s="58"/>
      <c r="AK229" s="58"/>
      <c r="AL229" s="58"/>
      <c r="AM229" s="58"/>
    </row>
    <row r="230" spans="2:39" ht="12.75">
      <c r="B230" s="58"/>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7"/>
      <c r="AB230" s="67"/>
      <c r="AC230" s="58"/>
      <c r="AD230" s="58"/>
      <c r="AE230" s="58"/>
      <c r="AF230" s="58"/>
      <c r="AG230" s="58"/>
      <c r="AH230" s="58"/>
      <c r="AI230" s="58"/>
      <c r="AJ230" s="58"/>
      <c r="AK230" s="58"/>
      <c r="AL230" s="58"/>
      <c r="AM230" s="58"/>
    </row>
    <row r="231" spans="2:39" ht="12.75">
      <c r="B231" s="58"/>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7"/>
      <c r="AB231" s="67"/>
      <c r="AC231" s="58"/>
      <c r="AD231" s="58"/>
      <c r="AE231" s="58"/>
      <c r="AF231" s="58"/>
      <c r="AG231" s="58"/>
      <c r="AH231" s="58"/>
      <c r="AI231" s="58"/>
      <c r="AJ231" s="58"/>
      <c r="AK231" s="58"/>
      <c r="AL231" s="58"/>
      <c r="AM231" s="58"/>
    </row>
    <row r="232" spans="2:39" ht="12.75">
      <c r="B232" s="58"/>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7"/>
      <c r="AB232" s="67"/>
      <c r="AC232" s="58"/>
      <c r="AD232" s="58"/>
      <c r="AE232" s="58"/>
      <c r="AF232" s="58"/>
      <c r="AG232" s="58"/>
      <c r="AH232" s="58"/>
      <c r="AI232" s="58"/>
      <c r="AJ232" s="58"/>
      <c r="AK232" s="58"/>
      <c r="AL232" s="58"/>
      <c r="AM232" s="58"/>
    </row>
    <row r="233" spans="2:39" ht="12.75">
      <c r="B233" s="58"/>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7"/>
      <c r="AB233" s="67"/>
      <c r="AC233" s="58"/>
      <c r="AD233" s="58"/>
      <c r="AE233" s="58"/>
      <c r="AF233" s="58"/>
      <c r="AG233" s="58"/>
      <c r="AH233" s="58"/>
      <c r="AI233" s="58"/>
      <c r="AJ233" s="58"/>
      <c r="AK233" s="58"/>
      <c r="AL233" s="58"/>
      <c r="AM233" s="58"/>
    </row>
    <row r="234" spans="2:39" ht="12.75">
      <c r="B234" s="58"/>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7"/>
      <c r="AB234" s="67"/>
      <c r="AC234" s="58"/>
      <c r="AD234" s="58"/>
      <c r="AE234" s="58"/>
      <c r="AF234" s="58"/>
      <c r="AG234" s="58"/>
      <c r="AH234" s="58"/>
      <c r="AI234" s="58"/>
      <c r="AJ234" s="58"/>
      <c r="AK234" s="58"/>
      <c r="AL234" s="58"/>
      <c r="AM234" s="58"/>
    </row>
    <row r="235" spans="2:39" ht="12.75">
      <c r="B235" s="58"/>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7"/>
      <c r="AB235" s="67"/>
      <c r="AC235" s="58"/>
      <c r="AD235" s="58"/>
      <c r="AE235" s="58"/>
      <c r="AF235" s="58"/>
      <c r="AG235" s="58"/>
      <c r="AH235" s="58"/>
      <c r="AI235" s="58"/>
      <c r="AJ235" s="58"/>
      <c r="AK235" s="58"/>
      <c r="AL235" s="58"/>
      <c r="AM235" s="58"/>
    </row>
    <row r="236" spans="2:39" ht="12.75">
      <c r="B236" s="58"/>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7"/>
      <c r="AB236" s="67"/>
      <c r="AC236" s="58"/>
      <c r="AD236" s="58"/>
      <c r="AE236" s="58"/>
      <c r="AF236" s="58"/>
      <c r="AG236" s="58"/>
      <c r="AH236" s="58"/>
      <c r="AI236" s="58"/>
      <c r="AJ236" s="58"/>
      <c r="AK236" s="58"/>
      <c r="AL236" s="58"/>
      <c r="AM236" s="58"/>
    </row>
    <row r="237" spans="2:39" ht="12.75">
      <c r="B237" s="58"/>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7"/>
      <c r="AB237" s="67"/>
      <c r="AC237" s="58"/>
      <c r="AD237" s="58"/>
      <c r="AE237" s="58"/>
      <c r="AF237" s="58"/>
      <c r="AG237" s="58"/>
      <c r="AH237" s="58"/>
      <c r="AI237" s="58"/>
      <c r="AJ237" s="58"/>
      <c r="AK237" s="58"/>
      <c r="AL237" s="58"/>
      <c r="AM237" s="58"/>
    </row>
    <row r="238" spans="2:39" ht="12.75">
      <c r="B238" s="58"/>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7"/>
      <c r="AB238" s="67"/>
      <c r="AC238" s="58"/>
      <c r="AD238" s="58"/>
      <c r="AE238" s="58"/>
      <c r="AF238" s="58"/>
      <c r="AG238" s="58"/>
      <c r="AH238" s="58"/>
      <c r="AI238" s="58"/>
      <c r="AJ238" s="58"/>
      <c r="AK238" s="58"/>
      <c r="AL238" s="58"/>
      <c r="AM238" s="58"/>
    </row>
    <row r="239" spans="2:39" ht="12.75">
      <c r="B239" s="58"/>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7"/>
      <c r="AB239" s="67"/>
      <c r="AC239" s="58"/>
      <c r="AD239" s="58"/>
      <c r="AE239" s="58"/>
      <c r="AF239" s="58"/>
      <c r="AG239" s="58"/>
      <c r="AH239" s="58"/>
      <c r="AI239" s="58"/>
      <c r="AJ239" s="58"/>
      <c r="AK239" s="58"/>
      <c r="AL239" s="58"/>
      <c r="AM239" s="58"/>
    </row>
    <row r="240" spans="2:39" ht="12.75">
      <c r="B240" s="58"/>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7"/>
      <c r="AB240" s="67"/>
      <c r="AC240" s="58"/>
      <c r="AD240" s="58"/>
      <c r="AE240" s="58"/>
      <c r="AF240" s="58"/>
      <c r="AG240" s="58"/>
      <c r="AH240" s="58"/>
      <c r="AI240" s="58"/>
      <c r="AJ240" s="58"/>
      <c r="AK240" s="58"/>
      <c r="AL240" s="58"/>
      <c r="AM240" s="58"/>
    </row>
    <row r="241" spans="2:39" ht="12.75">
      <c r="B241" s="58"/>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7"/>
      <c r="AB241" s="67"/>
      <c r="AC241" s="58"/>
      <c r="AD241" s="58"/>
      <c r="AE241" s="58"/>
      <c r="AF241" s="58"/>
      <c r="AG241" s="58"/>
      <c r="AH241" s="58"/>
      <c r="AI241" s="58"/>
      <c r="AJ241" s="58"/>
      <c r="AK241" s="58"/>
      <c r="AL241" s="58"/>
      <c r="AM241" s="58"/>
    </row>
    <row r="242" spans="2:39" ht="12.75">
      <c r="B242" s="58"/>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7"/>
      <c r="AB242" s="67"/>
      <c r="AC242" s="58"/>
      <c r="AD242" s="58"/>
      <c r="AE242" s="58"/>
      <c r="AF242" s="58"/>
      <c r="AG242" s="58"/>
      <c r="AH242" s="58"/>
      <c r="AI242" s="58"/>
      <c r="AJ242" s="58"/>
      <c r="AK242" s="58"/>
      <c r="AL242" s="58"/>
      <c r="AM242" s="58"/>
    </row>
    <row r="243" spans="2:39" ht="12.75">
      <c r="B243" s="58"/>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7"/>
      <c r="AB243" s="67"/>
      <c r="AC243" s="58"/>
      <c r="AD243" s="58"/>
      <c r="AE243" s="58"/>
      <c r="AF243" s="58"/>
      <c r="AG243" s="58"/>
      <c r="AH243" s="58"/>
      <c r="AI243" s="58"/>
      <c r="AJ243" s="58"/>
      <c r="AK243" s="58"/>
      <c r="AL243" s="58"/>
      <c r="AM243" s="58"/>
    </row>
    <row r="244" spans="2:39" ht="12.75">
      <c r="B244" s="58"/>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7"/>
      <c r="AB244" s="67"/>
      <c r="AC244" s="58"/>
      <c r="AD244" s="58"/>
      <c r="AE244" s="58"/>
      <c r="AF244" s="58"/>
      <c r="AG244" s="58"/>
      <c r="AH244" s="58"/>
      <c r="AI244" s="58"/>
      <c r="AJ244" s="58"/>
      <c r="AK244" s="58"/>
      <c r="AL244" s="58"/>
      <c r="AM244" s="58"/>
    </row>
    <row r="245" spans="2:39" ht="12.75">
      <c r="B245" s="58"/>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7"/>
      <c r="AB245" s="67"/>
      <c r="AC245" s="58"/>
      <c r="AD245" s="58"/>
      <c r="AE245" s="58"/>
      <c r="AF245" s="58"/>
      <c r="AG245" s="58"/>
      <c r="AH245" s="58"/>
      <c r="AI245" s="58"/>
      <c r="AJ245" s="58"/>
      <c r="AK245" s="58"/>
      <c r="AL245" s="58"/>
      <c r="AM245" s="58"/>
    </row>
    <row r="246" spans="2:39" ht="12.75">
      <c r="B246" s="58"/>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7"/>
      <c r="AB246" s="67"/>
      <c r="AC246" s="58"/>
      <c r="AD246" s="58"/>
      <c r="AE246" s="58"/>
      <c r="AF246" s="58"/>
      <c r="AG246" s="58"/>
      <c r="AH246" s="58"/>
      <c r="AI246" s="58"/>
      <c r="AJ246" s="58"/>
      <c r="AK246" s="58"/>
      <c r="AL246" s="58"/>
      <c r="AM246" s="58"/>
    </row>
    <row r="247" spans="2:39" ht="12.75">
      <c r="B247" s="58"/>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7"/>
      <c r="AB247" s="67"/>
      <c r="AC247" s="58"/>
      <c r="AD247" s="58"/>
      <c r="AE247" s="58"/>
      <c r="AF247" s="58"/>
      <c r="AG247" s="58"/>
      <c r="AH247" s="58"/>
      <c r="AI247" s="58"/>
      <c r="AJ247" s="58"/>
      <c r="AK247" s="58"/>
      <c r="AL247" s="58"/>
      <c r="AM247" s="58"/>
    </row>
    <row r="248" spans="2:39" ht="12.75">
      <c r="B248" s="58"/>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7"/>
      <c r="AB248" s="67"/>
      <c r="AC248" s="58"/>
      <c r="AD248" s="58"/>
      <c r="AE248" s="58"/>
      <c r="AF248" s="58"/>
      <c r="AG248" s="58"/>
      <c r="AH248" s="58"/>
      <c r="AI248" s="58"/>
      <c r="AJ248" s="58"/>
      <c r="AK248" s="58"/>
      <c r="AL248" s="58"/>
      <c r="AM248" s="58"/>
    </row>
    <row r="249" spans="2:39" ht="12.75">
      <c r="B249" s="58"/>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7"/>
      <c r="AB249" s="67"/>
      <c r="AC249" s="58"/>
      <c r="AD249" s="58"/>
      <c r="AE249" s="58"/>
      <c r="AF249" s="58"/>
      <c r="AG249" s="58"/>
      <c r="AH249" s="58"/>
      <c r="AI249" s="58"/>
      <c r="AJ249" s="58"/>
      <c r="AK249" s="58"/>
      <c r="AL249" s="58"/>
      <c r="AM249" s="58"/>
    </row>
    <row r="250" spans="2:39" ht="12.75">
      <c r="B250" s="58"/>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7"/>
      <c r="AB250" s="67"/>
      <c r="AC250" s="58"/>
      <c r="AD250" s="58"/>
      <c r="AE250" s="58"/>
      <c r="AF250" s="58"/>
      <c r="AG250" s="58"/>
      <c r="AH250" s="58"/>
      <c r="AI250" s="58"/>
      <c r="AJ250" s="58"/>
      <c r="AK250" s="58"/>
      <c r="AL250" s="58"/>
      <c r="AM250" s="58"/>
    </row>
    <row r="251" spans="2:39" ht="12.75">
      <c r="B251" s="58"/>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7"/>
      <c r="AB251" s="67"/>
      <c r="AC251" s="58"/>
      <c r="AD251" s="58"/>
      <c r="AE251" s="58"/>
      <c r="AF251" s="58"/>
      <c r="AG251" s="58"/>
      <c r="AH251" s="58"/>
      <c r="AI251" s="58"/>
      <c r="AJ251" s="58"/>
      <c r="AK251" s="58"/>
      <c r="AL251" s="58"/>
      <c r="AM251" s="58"/>
    </row>
    <row r="252" spans="2:39" ht="12.75">
      <c r="B252" s="58"/>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7"/>
      <c r="AB252" s="67"/>
      <c r="AC252" s="58"/>
      <c r="AD252" s="58"/>
      <c r="AE252" s="58"/>
      <c r="AF252" s="58"/>
      <c r="AG252" s="58"/>
      <c r="AH252" s="58"/>
      <c r="AI252" s="58"/>
      <c r="AJ252" s="58"/>
      <c r="AK252" s="58"/>
      <c r="AL252" s="58"/>
      <c r="AM252" s="58"/>
    </row>
    <row r="253" spans="2:39" ht="12.75">
      <c r="B253" s="58"/>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7"/>
      <c r="AB253" s="67"/>
      <c r="AC253" s="58"/>
      <c r="AD253" s="58"/>
      <c r="AE253" s="58"/>
      <c r="AF253" s="58"/>
      <c r="AG253" s="58"/>
      <c r="AH253" s="58"/>
      <c r="AI253" s="58"/>
      <c r="AJ253" s="58"/>
      <c r="AK253" s="58"/>
      <c r="AL253" s="58"/>
      <c r="AM253" s="58"/>
    </row>
    <row r="254" spans="2:39" ht="12.75">
      <c r="B254" s="58"/>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7"/>
      <c r="AB254" s="67"/>
      <c r="AC254" s="58"/>
      <c r="AD254" s="58"/>
      <c r="AE254" s="58"/>
      <c r="AF254" s="58"/>
      <c r="AG254" s="58"/>
      <c r="AH254" s="58"/>
      <c r="AI254" s="58"/>
      <c r="AJ254" s="58"/>
      <c r="AK254" s="58"/>
      <c r="AL254" s="58"/>
      <c r="AM254" s="58"/>
    </row>
    <row r="255" spans="2:39" ht="12.75">
      <c r="B255" s="58"/>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7"/>
      <c r="AB255" s="67"/>
      <c r="AC255" s="58"/>
      <c r="AD255" s="58"/>
      <c r="AE255" s="58"/>
      <c r="AF255" s="58"/>
      <c r="AG255" s="58"/>
      <c r="AH255" s="58"/>
      <c r="AI255" s="58"/>
      <c r="AJ255" s="58"/>
      <c r="AK255" s="58"/>
      <c r="AL255" s="58"/>
      <c r="AM255" s="58"/>
    </row>
    <row r="256" spans="2:39" ht="12.75">
      <c r="B256" s="58"/>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7"/>
      <c r="AB256" s="67"/>
      <c r="AC256" s="58"/>
      <c r="AD256" s="58"/>
      <c r="AE256" s="58"/>
      <c r="AF256" s="58"/>
      <c r="AG256" s="58"/>
      <c r="AH256" s="58"/>
      <c r="AI256" s="58"/>
      <c r="AJ256" s="58"/>
      <c r="AK256" s="58"/>
      <c r="AL256" s="58"/>
      <c r="AM256" s="58"/>
    </row>
    <row r="257" spans="2:39" ht="12.75">
      <c r="B257" s="58"/>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7"/>
      <c r="AB257" s="67"/>
      <c r="AC257" s="58"/>
      <c r="AD257" s="58"/>
      <c r="AE257" s="58"/>
      <c r="AF257" s="58"/>
      <c r="AG257" s="58"/>
      <c r="AH257" s="58"/>
      <c r="AI257" s="58"/>
      <c r="AJ257" s="58"/>
      <c r="AK257" s="58"/>
      <c r="AL257" s="58"/>
      <c r="AM257" s="58"/>
    </row>
    <row r="258" spans="2:39" ht="12.75">
      <c r="B258" s="58"/>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7"/>
      <c r="AB258" s="67"/>
      <c r="AC258" s="58"/>
      <c r="AD258" s="58"/>
      <c r="AE258" s="58"/>
      <c r="AF258" s="58"/>
      <c r="AG258" s="58"/>
      <c r="AH258" s="58"/>
      <c r="AI258" s="58"/>
      <c r="AJ258" s="58"/>
      <c r="AK258" s="58"/>
      <c r="AL258" s="58"/>
      <c r="AM258" s="58"/>
    </row>
    <row r="259" spans="2:39" ht="12.75">
      <c r="B259" s="58"/>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7"/>
      <c r="AB259" s="67"/>
      <c r="AC259" s="58"/>
      <c r="AD259" s="58"/>
      <c r="AE259" s="58"/>
      <c r="AF259" s="58"/>
      <c r="AG259" s="58"/>
      <c r="AH259" s="58"/>
      <c r="AI259" s="58"/>
      <c r="AJ259" s="58"/>
      <c r="AK259" s="58"/>
      <c r="AL259" s="58"/>
      <c r="AM259" s="58"/>
    </row>
    <row r="260" spans="2:39" ht="12.75">
      <c r="B260" s="58"/>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7"/>
      <c r="AB260" s="67"/>
      <c r="AC260" s="58"/>
      <c r="AD260" s="58"/>
      <c r="AE260" s="58"/>
      <c r="AF260" s="58"/>
      <c r="AG260" s="58"/>
      <c r="AH260" s="58"/>
      <c r="AI260" s="58"/>
      <c r="AJ260" s="58"/>
      <c r="AK260" s="58"/>
      <c r="AL260" s="58"/>
      <c r="AM260" s="58"/>
    </row>
    <row r="261" spans="2:39" ht="12.75">
      <c r="B261" s="58"/>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7"/>
      <c r="AB261" s="67"/>
      <c r="AC261" s="58"/>
      <c r="AD261" s="58"/>
      <c r="AE261" s="58"/>
      <c r="AF261" s="58"/>
      <c r="AG261" s="58"/>
      <c r="AH261" s="58"/>
      <c r="AI261" s="58"/>
      <c r="AJ261" s="58"/>
      <c r="AK261" s="58"/>
      <c r="AL261" s="58"/>
      <c r="AM261" s="58"/>
    </row>
    <row r="262" spans="2:39" ht="12.75">
      <c r="B262" s="58"/>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7"/>
      <c r="AB262" s="67"/>
      <c r="AC262" s="58"/>
      <c r="AD262" s="58"/>
      <c r="AE262" s="58"/>
      <c r="AF262" s="58"/>
      <c r="AG262" s="58"/>
      <c r="AH262" s="58"/>
      <c r="AI262" s="58"/>
      <c r="AJ262" s="58"/>
      <c r="AK262" s="58"/>
      <c r="AL262" s="58"/>
      <c r="AM262" s="58"/>
    </row>
    <row r="263" spans="2:39" ht="12.75">
      <c r="B263" s="58"/>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7"/>
      <c r="AB263" s="67"/>
      <c r="AC263" s="58"/>
      <c r="AD263" s="58"/>
      <c r="AE263" s="58"/>
      <c r="AF263" s="58"/>
      <c r="AG263" s="58"/>
      <c r="AH263" s="58"/>
      <c r="AI263" s="58"/>
      <c r="AJ263" s="58"/>
      <c r="AK263" s="58"/>
      <c r="AL263" s="58"/>
      <c r="AM263" s="58"/>
    </row>
    <row r="264" spans="2:39" ht="12.75">
      <c r="B264" s="58"/>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7"/>
      <c r="AB264" s="67"/>
      <c r="AC264" s="58"/>
      <c r="AD264" s="58"/>
      <c r="AE264" s="58"/>
      <c r="AF264" s="58"/>
      <c r="AG264" s="58"/>
      <c r="AH264" s="58"/>
      <c r="AI264" s="58"/>
      <c r="AJ264" s="58"/>
      <c r="AK264" s="58"/>
      <c r="AL264" s="58"/>
      <c r="AM264" s="58"/>
    </row>
    <row r="265" spans="2:39" ht="12.75">
      <c r="B265" s="58"/>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7"/>
      <c r="AB265" s="67"/>
      <c r="AC265" s="58"/>
      <c r="AD265" s="58"/>
      <c r="AE265" s="58"/>
      <c r="AF265" s="58"/>
      <c r="AG265" s="58"/>
      <c r="AH265" s="58"/>
      <c r="AI265" s="58"/>
      <c r="AJ265" s="58"/>
      <c r="AK265" s="58"/>
      <c r="AL265" s="58"/>
      <c r="AM265" s="58"/>
    </row>
    <row r="266" spans="2:39" ht="12.75">
      <c r="B266" s="58"/>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7"/>
      <c r="AB266" s="67"/>
      <c r="AC266" s="58"/>
      <c r="AD266" s="58"/>
      <c r="AE266" s="58"/>
      <c r="AF266" s="58"/>
      <c r="AG266" s="58"/>
      <c r="AH266" s="58"/>
      <c r="AI266" s="58"/>
      <c r="AJ266" s="58"/>
      <c r="AK266" s="58"/>
      <c r="AL266" s="58"/>
      <c r="AM266" s="58"/>
    </row>
    <row r="267" spans="2:39" ht="12.75">
      <c r="B267" s="58"/>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7"/>
      <c r="AB267" s="67"/>
      <c r="AC267" s="58"/>
      <c r="AD267" s="58"/>
      <c r="AE267" s="58"/>
      <c r="AF267" s="58"/>
      <c r="AG267" s="58"/>
      <c r="AH267" s="58"/>
      <c r="AI267" s="58"/>
      <c r="AJ267" s="58"/>
      <c r="AK267" s="58"/>
      <c r="AL267" s="58"/>
      <c r="AM267" s="58"/>
    </row>
    <row r="268" spans="2:39" ht="12.75">
      <c r="B268" s="58"/>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7"/>
      <c r="AB268" s="67"/>
      <c r="AC268" s="58"/>
      <c r="AD268" s="58"/>
      <c r="AE268" s="58"/>
      <c r="AF268" s="58"/>
      <c r="AG268" s="58"/>
      <c r="AH268" s="58"/>
      <c r="AI268" s="58"/>
      <c r="AJ268" s="58"/>
      <c r="AK268" s="58"/>
      <c r="AL268" s="58"/>
      <c r="AM268" s="58"/>
    </row>
    <row r="269" spans="2:39" ht="12.75">
      <c r="B269" s="58"/>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7"/>
      <c r="AB269" s="67"/>
      <c r="AC269" s="58"/>
      <c r="AD269" s="58"/>
      <c r="AE269" s="58"/>
      <c r="AF269" s="58"/>
      <c r="AG269" s="58"/>
      <c r="AH269" s="58"/>
      <c r="AI269" s="58"/>
      <c r="AJ269" s="58"/>
      <c r="AK269" s="58"/>
      <c r="AL269" s="58"/>
      <c r="AM269" s="58"/>
    </row>
    <row r="270" spans="2:39" ht="12.75">
      <c r="B270" s="58"/>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7"/>
      <c r="AB270" s="67"/>
      <c r="AC270" s="58"/>
      <c r="AD270" s="58"/>
      <c r="AE270" s="58"/>
      <c r="AF270" s="58"/>
      <c r="AG270" s="58"/>
      <c r="AH270" s="58"/>
      <c r="AI270" s="58"/>
      <c r="AJ270" s="58"/>
      <c r="AK270" s="58"/>
      <c r="AL270" s="58"/>
      <c r="AM270" s="58"/>
    </row>
    <row r="271" spans="2:39" ht="12.75">
      <c r="B271" s="58"/>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7"/>
      <c r="AB271" s="67"/>
      <c r="AC271" s="58"/>
      <c r="AD271" s="58"/>
      <c r="AE271" s="58"/>
      <c r="AF271" s="58"/>
      <c r="AG271" s="58"/>
      <c r="AH271" s="58"/>
      <c r="AI271" s="58"/>
      <c r="AJ271" s="58"/>
      <c r="AK271" s="58"/>
      <c r="AL271" s="58"/>
      <c r="AM271" s="58"/>
    </row>
    <row r="272" spans="2:39" ht="12.75">
      <c r="B272" s="58"/>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7"/>
      <c r="AB272" s="67"/>
      <c r="AC272" s="58"/>
      <c r="AD272" s="58"/>
      <c r="AE272" s="58"/>
      <c r="AF272" s="58"/>
      <c r="AG272" s="58"/>
      <c r="AH272" s="58"/>
      <c r="AI272" s="58"/>
      <c r="AJ272" s="58"/>
      <c r="AK272" s="58"/>
      <c r="AL272" s="58"/>
      <c r="AM272" s="58"/>
    </row>
    <row r="273" spans="2:39" ht="12.75">
      <c r="B273" s="58"/>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7"/>
      <c r="AB273" s="67"/>
      <c r="AC273" s="58"/>
      <c r="AD273" s="58"/>
      <c r="AE273" s="58"/>
      <c r="AF273" s="58"/>
      <c r="AG273" s="58"/>
      <c r="AH273" s="58"/>
      <c r="AI273" s="58"/>
      <c r="AJ273" s="58"/>
      <c r="AK273" s="58"/>
      <c r="AL273" s="58"/>
      <c r="AM273" s="58"/>
    </row>
    <row r="274" spans="2:39" ht="12.75">
      <c r="B274" s="58"/>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7"/>
      <c r="AB274" s="67"/>
      <c r="AC274" s="58"/>
      <c r="AD274" s="58"/>
      <c r="AE274" s="58"/>
      <c r="AF274" s="58"/>
      <c r="AG274" s="58"/>
      <c r="AH274" s="58"/>
      <c r="AI274" s="58"/>
      <c r="AJ274" s="58"/>
      <c r="AK274" s="58"/>
      <c r="AL274" s="58"/>
      <c r="AM274" s="58"/>
    </row>
    <row r="275" spans="2:39" ht="12.75">
      <c r="B275" s="58"/>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7"/>
      <c r="AB275" s="67"/>
      <c r="AC275" s="58"/>
      <c r="AD275" s="58"/>
      <c r="AE275" s="58"/>
      <c r="AF275" s="58"/>
      <c r="AG275" s="58"/>
      <c r="AH275" s="58"/>
      <c r="AI275" s="58"/>
      <c r="AJ275" s="58"/>
      <c r="AK275" s="58"/>
      <c r="AL275" s="58"/>
      <c r="AM275" s="58"/>
    </row>
    <row r="276" spans="2:39" ht="12.75">
      <c r="B276" s="58"/>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7"/>
      <c r="AB276" s="67"/>
      <c r="AC276" s="58"/>
      <c r="AD276" s="58"/>
      <c r="AE276" s="58"/>
      <c r="AF276" s="58"/>
      <c r="AG276" s="58"/>
      <c r="AH276" s="58"/>
      <c r="AI276" s="58"/>
      <c r="AJ276" s="58"/>
      <c r="AK276" s="58"/>
      <c r="AL276" s="58"/>
      <c r="AM276" s="58"/>
    </row>
    <row r="277" spans="2:39" ht="12.75">
      <c r="B277" s="58"/>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7"/>
      <c r="AB277" s="67"/>
      <c r="AC277" s="58"/>
      <c r="AD277" s="58"/>
      <c r="AE277" s="58"/>
      <c r="AF277" s="58"/>
      <c r="AG277" s="58"/>
      <c r="AH277" s="58"/>
      <c r="AI277" s="58"/>
      <c r="AJ277" s="58"/>
      <c r="AK277" s="58"/>
      <c r="AL277" s="58"/>
      <c r="AM277" s="58"/>
    </row>
    <row r="278" spans="2:39" ht="12.75">
      <c r="B278" s="58"/>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7"/>
      <c r="AB278" s="67"/>
      <c r="AC278" s="58"/>
      <c r="AD278" s="58"/>
      <c r="AE278" s="58"/>
      <c r="AF278" s="58"/>
      <c r="AG278" s="58"/>
      <c r="AH278" s="58"/>
      <c r="AI278" s="58"/>
      <c r="AJ278" s="58"/>
      <c r="AK278" s="58"/>
      <c r="AL278" s="58"/>
      <c r="AM278" s="58"/>
    </row>
    <row r="279" spans="2:39" ht="12.75">
      <c r="B279" s="58"/>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7"/>
      <c r="AB279" s="67"/>
      <c r="AC279" s="58"/>
      <c r="AD279" s="58"/>
      <c r="AE279" s="58"/>
      <c r="AF279" s="58"/>
      <c r="AG279" s="58"/>
      <c r="AH279" s="58"/>
      <c r="AI279" s="58"/>
      <c r="AJ279" s="58"/>
      <c r="AK279" s="58"/>
      <c r="AL279" s="58"/>
      <c r="AM279" s="58"/>
    </row>
    <row r="280" spans="2:39" ht="12.75">
      <c r="B280" s="58"/>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7"/>
      <c r="AB280" s="67"/>
      <c r="AC280" s="58"/>
      <c r="AD280" s="58"/>
      <c r="AE280" s="58"/>
      <c r="AF280" s="58"/>
      <c r="AG280" s="58"/>
      <c r="AH280" s="58"/>
      <c r="AI280" s="58"/>
      <c r="AJ280" s="58"/>
      <c r="AK280" s="58"/>
      <c r="AL280" s="58"/>
      <c r="AM280" s="58"/>
    </row>
    <row r="281" spans="2:39" ht="12.75">
      <c r="B281" s="58"/>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7"/>
      <c r="AB281" s="67"/>
      <c r="AC281" s="58"/>
      <c r="AD281" s="58"/>
      <c r="AE281" s="58"/>
      <c r="AF281" s="58"/>
      <c r="AG281" s="58"/>
      <c r="AH281" s="58"/>
      <c r="AI281" s="58"/>
      <c r="AJ281" s="58"/>
      <c r="AK281" s="58"/>
      <c r="AL281" s="58"/>
      <c r="AM281" s="58"/>
    </row>
    <row r="282" spans="2:39" ht="12.75">
      <c r="B282" s="58"/>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7"/>
      <c r="AB282" s="67"/>
      <c r="AC282" s="58"/>
      <c r="AD282" s="58"/>
      <c r="AE282" s="58"/>
      <c r="AF282" s="58"/>
      <c r="AG282" s="58"/>
      <c r="AH282" s="58"/>
      <c r="AI282" s="58"/>
      <c r="AJ282" s="58"/>
      <c r="AK282" s="58"/>
      <c r="AL282" s="58"/>
      <c r="AM282" s="58"/>
    </row>
    <row r="283" spans="2:39" ht="12.75">
      <c r="B283" s="58"/>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7"/>
      <c r="AB283" s="67"/>
      <c r="AC283" s="58"/>
      <c r="AD283" s="58"/>
      <c r="AE283" s="58"/>
      <c r="AF283" s="58"/>
      <c r="AG283" s="58"/>
      <c r="AH283" s="58"/>
      <c r="AI283" s="58"/>
      <c r="AJ283" s="58"/>
      <c r="AK283" s="58"/>
      <c r="AL283" s="58"/>
      <c r="AM283" s="58"/>
    </row>
    <row r="284" spans="2:39" ht="12.75">
      <c r="B284" s="58"/>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7"/>
      <c r="AB284" s="67"/>
      <c r="AC284" s="58"/>
      <c r="AD284" s="58"/>
      <c r="AE284" s="58"/>
      <c r="AF284" s="58"/>
      <c r="AG284" s="58"/>
      <c r="AH284" s="58"/>
      <c r="AI284" s="58"/>
      <c r="AJ284" s="58"/>
      <c r="AK284" s="58"/>
      <c r="AL284" s="58"/>
      <c r="AM284" s="58"/>
    </row>
    <row r="285" spans="2:39" ht="12.75">
      <c r="B285" s="58"/>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7"/>
      <c r="AB285" s="67"/>
      <c r="AC285" s="58"/>
      <c r="AD285" s="58"/>
      <c r="AE285" s="58"/>
      <c r="AF285" s="58"/>
      <c r="AG285" s="58"/>
      <c r="AH285" s="58"/>
      <c r="AI285" s="58"/>
      <c r="AJ285" s="58"/>
      <c r="AK285" s="58"/>
      <c r="AL285" s="58"/>
      <c r="AM285" s="58"/>
    </row>
    <row r="286" spans="2:39" ht="12.75">
      <c r="B286" s="58"/>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7"/>
      <c r="AB286" s="67"/>
      <c r="AC286" s="58"/>
      <c r="AD286" s="58"/>
      <c r="AE286" s="58"/>
      <c r="AF286" s="58"/>
      <c r="AG286" s="58"/>
      <c r="AH286" s="58"/>
      <c r="AI286" s="58"/>
      <c r="AJ286" s="58"/>
      <c r="AK286" s="58"/>
      <c r="AL286" s="58"/>
      <c r="AM286" s="58"/>
    </row>
    <row r="287" spans="2:39" ht="12.75">
      <c r="B287" s="58"/>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7"/>
      <c r="AB287" s="67"/>
      <c r="AC287" s="58"/>
      <c r="AD287" s="58"/>
      <c r="AE287" s="58"/>
      <c r="AF287" s="58"/>
      <c r="AG287" s="58"/>
      <c r="AH287" s="58"/>
      <c r="AI287" s="58"/>
      <c r="AJ287" s="58"/>
      <c r="AK287" s="58"/>
      <c r="AL287" s="58"/>
      <c r="AM287" s="58"/>
    </row>
    <row r="288" spans="2:39" ht="12.75">
      <c r="B288" s="58"/>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7"/>
      <c r="AB288" s="67"/>
      <c r="AC288" s="58"/>
      <c r="AD288" s="58"/>
      <c r="AE288" s="58"/>
      <c r="AF288" s="58"/>
      <c r="AG288" s="58"/>
      <c r="AH288" s="58"/>
      <c r="AI288" s="58"/>
      <c r="AJ288" s="58"/>
      <c r="AK288" s="58"/>
      <c r="AL288" s="58"/>
      <c r="AM288" s="58"/>
    </row>
    <row r="289" spans="2:39" ht="12.75">
      <c r="B289" s="58"/>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7"/>
      <c r="AB289" s="67"/>
      <c r="AC289" s="58"/>
      <c r="AD289" s="58"/>
      <c r="AE289" s="58"/>
      <c r="AF289" s="58"/>
      <c r="AG289" s="58"/>
      <c r="AH289" s="58"/>
      <c r="AI289" s="58"/>
      <c r="AJ289" s="58"/>
      <c r="AK289" s="58"/>
      <c r="AL289" s="58"/>
      <c r="AM289" s="58"/>
    </row>
    <row r="290" spans="2:39" ht="12.75">
      <c r="B290" s="58"/>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7"/>
      <c r="AB290" s="67"/>
      <c r="AC290" s="58"/>
      <c r="AD290" s="58"/>
      <c r="AE290" s="58"/>
      <c r="AF290" s="58"/>
      <c r="AG290" s="58"/>
      <c r="AH290" s="58"/>
      <c r="AI290" s="58"/>
      <c r="AJ290" s="58"/>
      <c r="AK290" s="58"/>
      <c r="AL290" s="58"/>
      <c r="AM290" s="58"/>
    </row>
    <row r="291" spans="2:39" ht="12.75">
      <c r="B291" s="58"/>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7"/>
      <c r="AB291" s="67"/>
      <c r="AC291" s="58"/>
      <c r="AD291" s="58"/>
      <c r="AE291" s="58"/>
      <c r="AF291" s="58"/>
      <c r="AG291" s="58"/>
      <c r="AH291" s="58"/>
      <c r="AI291" s="58"/>
      <c r="AJ291" s="58"/>
      <c r="AK291" s="58"/>
      <c r="AL291" s="58"/>
      <c r="AM291" s="58"/>
    </row>
    <row r="292" spans="2:39" ht="12.75">
      <c r="B292" s="58"/>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7"/>
      <c r="AB292" s="67"/>
      <c r="AC292" s="58"/>
      <c r="AD292" s="58"/>
      <c r="AE292" s="58"/>
      <c r="AF292" s="58"/>
      <c r="AG292" s="58"/>
      <c r="AH292" s="58"/>
      <c r="AI292" s="58"/>
      <c r="AJ292" s="58"/>
      <c r="AK292" s="58"/>
      <c r="AL292" s="58"/>
      <c r="AM292" s="58"/>
    </row>
    <row r="293" spans="2:39" ht="12.75">
      <c r="B293" s="58"/>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7"/>
      <c r="AB293" s="67"/>
      <c r="AC293" s="58"/>
      <c r="AD293" s="58"/>
      <c r="AE293" s="58"/>
      <c r="AF293" s="58"/>
      <c r="AG293" s="58"/>
      <c r="AH293" s="58"/>
      <c r="AI293" s="58"/>
      <c r="AJ293" s="58"/>
      <c r="AK293" s="58"/>
      <c r="AL293" s="58"/>
      <c r="AM293" s="58"/>
    </row>
    <row r="294" spans="2:39" ht="12.75">
      <c r="B294" s="58"/>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7"/>
      <c r="AB294" s="67"/>
      <c r="AC294" s="58"/>
      <c r="AD294" s="58"/>
      <c r="AE294" s="58"/>
      <c r="AF294" s="58"/>
      <c r="AG294" s="58"/>
      <c r="AH294" s="58"/>
      <c r="AI294" s="58"/>
      <c r="AJ294" s="58"/>
      <c r="AK294" s="58"/>
      <c r="AL294" s="58"/>
      <c r="AM294" s="58"/>
    </row>
    <row r="295" spans="2:39" ht="12.75">
      <c r="B295" s="58"/>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7"/>
      <c r="AB295" s="67"/>
      <c r="AC295" s="58"/>
      <c r="AD295" s="58"/>
      <c r="AE295" s="58"/>
      <c r="AF295" s="58"/>
      <c r="AG295" s="58"/>
      <c r="AH295" s="58"/>
      <c r="AI295" s="58"/>
      <c r="AJ295" s="58"/>
      <c r="AK295" s="58"/>
      <c r="AL295" s="58"/>
      <c r="AM295" s="58"/>
    </row>
    <row r="296" spans="2:39" ht="12.75">
      <c r="B296" s="58"/>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7"/>
      <c r="AB296" s="67"/>
      <c r="AC296" s="58"/>
      <c r="AD296" s="58"/>
      <c r="AE296" s="58"/>
      <c r="AF296" s="58"/>
      <c r="AG296" s="58"/>
      <c r="AH296" s="58"/>
      <c r="AI296" s="58"/>
      <c r="AJ296" s="58"/>
      <c r="AK296" s="58"/>
      <c r="AL296" s="58"/>
      <c r="AM296" s="58"/>
    </row>
    <row r="297" spans="2:39" ht="12.75">
      <c r="B297" s="58"/>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7"/>
      <c r="AB297" s="67"/>
      <c r="AC297" s="58"/>
      <c r="AD297" s="58"/>
      <c r="AE297" s="58"/>
      <c r="AF297" s="58"/>
      <c r="AG297" s="58"/>
      <c r="AH297" s="58"/>
      <c r="AI297" s="58"/>
      <c r="AJ297" s="58"/>
      <c r="AK297" s="58"/>
      <c r="AL297" s="58"/>
      <c r="AM297" s="58"/>
    </row>
    <row r="298" spans="2:39" ht="12.75">
      <c r="B298" s="58"/>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7"/>
      <c r="AB298" s="67"/>
      <c r="AC298" s="58"/>
      <c r="AD298" s="58"/>
      <c r="AE298" s="58"/>
      <c r="AF298" s="58"/>
      <c r="AG298" s="58"/>
      <c r="AH298" s="58"/>
      <c r="AI298" s="58"/>
      <c r="AJ298" s="58"/>
      <c r="AK298" s="58"/>
      <c r="AL298" s="58"/>
      <c r="AM298" s="58"/>
    </row>
    <row r="299" spans="2:39" ht="12.75">
      <c r="B299" s="58"/>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7"/>
      <c r="AB299" s="67"/>
      <c r="AC299" s="58"/>
      <c r="AD299" s="58"/>
      <c r="AE299" s="58"/>
      <c r="AF299" s="58"/>
      <c r="AG299" s="58"/>
      <c r="AH299" s="58"/>
      <c r="AI299" s="58"/>
      <c r="AJ299" s="58"/>
      <c r="AK299" s="58"/>
      <c r="AL299" s="58"/>
      <c r="AM299" s="58"/>
    </row>
    <row r="300" spans="2:39" ht="12.75">
      <c r="B300" s="58"/>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7"/>
      <c r="AB300" s="67"/>
      <c r="AC300" s="58"/>
      <c r="AD300" s="58"/>
      <c r="AE300" s="58"/>
      <c r="AF300" s="58"/>
      <c r="AG300" s="58"/>
      <c r="AH300" s="58"/>
      <c r="AI300" s="58"/>
      <c r="AJ300" s="58"/>
      <c r="AK300" s="58"/>
      <c r="AL300" s="58"/>
      <c r="AM300" s="58"/>
    </row>
    <row r="301" spans="2:39" ht="12.75">
      <c r="B301" s="58"/>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7"/>
      <c r="AB301" s="67"/>
      <c r="AC301" s="58"/>
      <c r="AD301" s="58"/>
      <c r="AE301" s="58"/>
      <c r="AF301" s="58"/>
      <c r="AG301" s="58"/>
      <c r="AH301" s="58"/>
      <c r="AI301" s="58"/>
      <c r="AJ301" s="58"/>
      <c r="AK301" s="58"/>
      <c r="AL301" s="58"/>
      <c r="AM301" s="58"/>
    </row>
    <row r="302" spans="2:39" ht="12.75">
      <c r="B302" s="58"/>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7"/>
      <c r="AB302" s="67"/>
      <c r="AC302" s="58"/>
      <c r="AD302" s="58"/>
      <c r="AE302" s="58"/>
      <c r="AF302" s="58"/>
      <c r="AG302" s="58"/>
      <c r="AH302" s="58"/>
      <c r="AI302" s="58"/>
      <c r="AJ302" s="58"/>
      <c r="AK302" s="58"/>
      <c r="AL302" s="58"/>
      <c r="AM302" s="58"/>
    </row>
    <row r="303" spans="2:39" ht="12.75">
      <c r="B303" s="58"/>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7"/>
      <c r="AB303" s="67"/>
      <c r="AC303" s="58"/>
      <c r="AD303" s="58"/>
      <c r="AE303" s="58"/>
      <c r="AF303" s="58"/>
      <c r="AG303" s="58"/>
      <c r="AH303" s="58"/>
      <c r="AI303" s="58"/>
      <c r="AJ303" s="58"/>
      <c r="AK303" s="58"/>
      <c r="AL303" s="58"/>
      <c r="AM303" s="58"/>
    </row>
    <row r="304" spans="2:39" ht="12.75">
      <c r="B304" s="58"/>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7"/>
      <c r="AB304" s="67"/>
      <c r="AC304" s="58"/>
      <c r="AD304" s="58"/>
      <c r="AE304" s="58"/>
      <c r="AF304" s="58"/>
      <c r="AG304" s="58"/>
      <c r="AH304" s="58"/>
      <c r="AI304" s="58"/>
      <c r="AJ304" s="58"/>
      <c r="AK304" s="58"/>
      <c r="AL304" s="58"/>
      <c r="AM304" s="58"/>
    </row>
    <row r="305" spans="2:39" ht="12.75">
      <c r="B305" s="58"/>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7"/>
      <c r="AB305" s="67"/>
      <c r="AC305" s="58"/>
      <c r="AD305" s="58"/>
      <c r="AE305" s="58"/>
      <c r="AF305" s="58"/>
      <c r="AG305" s="58"/>
      <c r="AH305" s="58"/>
      <c r="AI305" s="58"/>
      <c r="AJ305" s="58"/>
      <c r="AK305" s="58"/>
      <c r="AL305" s="58"/>
      <c r="AM305" s="58"/>
    </row>
    <row r="306" spans="2:39" ht="12.75">
      <c r="B306" s="58"/>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7"/>
      <c r="AB306" s="67"/>
      <c r="AC306" s="58"/>
      <c r="AD306" s="58"/>
      <c r="AE306" s="58"/>
      <c r="AF306" s="58"/>
      <c r="AG306" s="58"/>
      <c r="AH306" s="58"/>
      <c r="AI306" s="58"/>
      <c r="AJ306" s="58"/>
      <c r="AK306" s="58"/>
      <c r="AL306" s="58"/>
      <c r="AM306" s="58"/>
    </row>
    <row r="307" spans="2:39" ht="12.75">
      <c r="B307" s="58"/>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7"/>
      <c r="AB307" s="67"/>
      <c r="AC307" s="58"/>
      <c r="AD307" s="58"/>
      <c r="AE307" s="58"/>
      <c r="AF307" s="58"/>
      <c r="AG307" s="58"/>
      <c r="AH307" s="58"/>
      <c r="AI307" s="58"/>
      <c r="AJ307" s="58"/>
      <c r="AK307" s="58"/>
      <c r="AL307" s="58"/>
      <c r="AM307" s="58"/>
    </row>
    <row r="308" spans="2:39" ht="12.75">
      <c r="B308" s="58"/>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7"/>
      <c r="AB308" s="67"/>
      <c r="AC308" s="58"/>
      <c r="AD308" s="58"/>
      <c r="AE308" s="58"/>
      <c r="AF308" s="58"/>
      <c r="AG308" s="58"/>
      <c r="AH308" s="58"/>
      <c r="AI308" s="58"/>
      <c r="AJ308" s="58"/>
      <c r="AK308" s="58"/>
      <c r="AL308" s="58"/>
      <c r="AM308" s="58"/>
    </row>
    <row r="309" spans="2:39" ht="12.75">
      <c r="B309" s="58"/>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7"/>
      <c r="AB309" s="67"/>
      <c r="AC309" s="58"/>
      <c r="AD309" s="58"/>
      <c r="AE309" s="58"/>
      <c r="AF309" s="58"/>
      <c r="AG309" s="58"/>
      <c r="AH309" s="58"/>
      <c r="AI309" s="58"/>
      <c r="AJ309" s="58"/>
      <c r="AK309" s="58"/>
      <c r="AL309" s="58"/>
      <c r="AM309" s="58"/>
    </row>
    <row r="310" spans="2:39" ht="12.75">
      <c r="B310" s="58"/>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7"/>
      <c r="AB310" s="67"/>
      <c r="AC310" s="58"/>
      <c r="AD310" s="58"/>
      <c r="AE310" s="58"/>
      <c r="AF310" s="58"/>
      <c r="AG310" s="58"/>
      <c r="AH310" s="58"/>
      <c r="AI310" s="58"/>
      <c r="AJ310" s="58"/>
      <c r="AK310" s="58"/>
      <c r="AL310" s="58"/>
      <c r="AM310" s="58"/>
    </row>
    <row r="311" spans="2:39" ht="12.75">
      <c r="B311" s="58"/>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7"/>
      <c r="AB311" s="67"/>
      <c r="AC311" s="58"/>
      <c r="AD311" s="58"/>
      <c r="AE311" s="58"/>
      <c r="AF311" s="58"/>
      <c r="AG311" s="58"/>
      <c r="AH311" s="58"/>
      <c r="AI311" s="58"/>
      <c r="AJ311" s="58"/>
      <c r="AK311" s="58"/>
      <c r="AL311" s="58"/>
      <c r="AM311" s="58"/>
    </row>
    <row r="312" spans="2:39" ht="12.75">
      <c r="B312" s="58"/>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7"/>
      <c r="AB312" s="67"/>
      <c r="AC312" s="58"/>
      <c r="AD312" s="58"/>
      <c r="AE312" s="58"/>
      <c r="AF312" s="58"/>
      <c r="AG312" s="58"/>
      <c r="AH312" s="58"/>
      <c r="AI312" s="58"/>
      <c r="AJ312" s="58"/>
      <c r="AK312" s="58"/>
      <c r="AL312" s="58"/>
      <c r="AM312" s="58"/>
    </row>
    <row r="313" spans="2:39" ht="12.75">
      <c r="B313" s="58"/>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7"/>
      <c r="AB313" s="67"/>
      <c r="AC313" s="58"/>
      <c r="AD313" s="58"/>
      <c r="AE313" s="58"/>
      <c r="AF313" s="58"/>
      <c r="AG313" s="58"/>
      <c r="AH313" s="58"/>
      <c r="AI313" s="58"/>
      <c r="AJ313" s="58"/>
      <c r="AK313" s="58"/>
      <c r="AL313" s="58"/>
      <c r="AM313" s="58"/>
    </row>
    <row r="314" spans="2:39" ht="12.75">
      <c r="B314" s="58"/>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7"/>
      <c r="AB314" s="67"/>
      <c r="AC314" s="58"/>
      <c r="AD314" s="58"/>
      <c r="AE314" s="58"/>
      <c r="AF314" s="58"/>
      <c r="AG314" s="58"/>
      <c r="AH314" s="58"/>
      <c r="AI314" s="58"/>
      <c r="AJ314" s="58"/>
      <c r="AK314" s="58"/>
      <c r="AL314" s="58"/>
      <c r="AM314" s="58"/>
    </row>
    <row r="315" spans="2:39" ht="12.75">
      <c r="B315" s="58"/>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7"/>
      <c r="AB315" s="67"/>
      <c r="AC315" s="58"/>
      <c r="AD315" s="58"/>
      <c r="AE315" s="58"/>
      <c r="AF315" s="58"/>
      <c r="AG315" s="58"/>
      <c r="AH315" s="58"/>
      <c r="AI315" s="58"/>
      <c r="AJ315" s="58"/>
      <c r="AK315" s="58"/>
      <c r="AL315" s="58"/>
      <c r="AM315" s="58"/>
    </row>
    <row r="316" spans="2:39" ht="12.75">
      <c r="B316" s="58"/>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7"/>
      <c r="AB316" s="67"/>
      <c r="AC316" s="58"/>
      <c r="AD316" s="58"/>
      <c r="AE316" s="58"/>
      <c r="AF316" s="58"/>
      <c r="AG316" s="58"/>
      <c r="AH316" s="58"/>
      <c r="AI316" s="58"/>
      <c r="AJ316" s="58"/>
      <c r="AK316" s="58"/>
      <c r="AL316" s="58"/>
      <c r="AM316" s="58"/>
    </row>
    <row r="317" spans="2:39" ht="12.75">
      <c r="B317" s="58"/>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7"/>
      <c r="AB317" s="67"/>
      <c r="AC317" s="58"/>
      <c r="AD317" s="58"/>
      <c r="AE317" s="58"/>
      <c r="AF317" s="58"/>
      <c r="AG317" s="58"/>
      <c r="AH317" s="58"/>
      <c r="AI317" s="58"/>
      <c r="AJ317" s="58"/>
      <c r="AK317" s="58"/>
      <c r="AL317" s="58"/>
      <c r="AM317" s="58"/>
    </row>
    <row r="318" spans="2:39" ht="12.75">
      <c r="B318" s="58"/>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7"/>
      <c r="AB318" s="67"/>
      <c r="AC318" s="58"/>
      <c r="AD318" s="58"/>
      <c r="AE318" s="58"/>
      <c r="AF318" s="58"/>
      <c r="AG318" s="58"/>
      <c r="AH318" s="58"/>
      <c r="AI318" s="58"/>
      <c r="AJ318" s="58"/>
      <c r="AK318" s="58"/>
      <c r="AL318" s="58"/>
      <c r="AM318" s="58"/>
    </row>
    <row r="319" spans="2:39" ht="12.75">
      <c r="B319" s="58"/>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7"/>
      <c r="AB319" s="67"/>
      <c r="AC319" s="58"/>
      <c r="AD319" s="58"/>
      <c r="AE319" s="58"/>
      <c r="AF319" s="58"/>
      <c r="AG319" s="58"/>
      <c r="AH319" s="58"/>
      <c r="AI319" s="58"/>
      <c r="AJ319" s="58"/>
      <c r="AK319" s="58"/>
      <c r="AL319" s="58"/>
      <c r="AM319" s="58"/>
    </row>
    <row r="320" spans="2:39" ht="12.75">
      <c r="B320" s="58"/>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7"/>
      <c r="AB320" s="67"/>
      <c r="AC320" s="58"/>
      <c r="AD320" s="58"/>
      <c r="AE320" s="58"/>
      <c r="AF320" s="58"/>
      <c r="AG320" s="58"/>
      <c r="AH320" s="58"/>
      <c r="AI320" s="58"/>
      <c r="AJ320" s="58"/>
      <c r="AK320" s="58"/>
      <c r="AL320" s="58"/>
      <c r="AM320" s="58"/>
    </row>
    <row r="321" spans="2:39" ht="12.75">
      <c r="B321" s="58"/>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7"/>
      <c r="AB321" s="67"/>
      <c r="AC321" s="58"/>
      <c r="AD321" s="58"/>
      <c r="AE321" s="58"/>
      <c r="AF321" s="58"/>
      <c r="AG321" s="58"/>
      <c r="AH321" s="58"/>
      <c r="AI321" s="58"/>
      <c r="AJ321" s="58"/>
      <c r="AK321" s="58"/>
      <c r="AL321" s="58"/>
      <c r="AM321" s="58"/>
    </row>
    <row r="322" spans="2:39" ht="12.75">
      <c r="B322" s="58"/>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7"/>
      <c r="AB322" s="67"/>
      <c r="AC322" s="58"/>
      <c r="AD322" s="58"/>
      <c r="AE322" s="58"/>
      <c r="AF322" s="58"/>
      <c r="AG322" s="58"/>
      <c r="AH322" s="58"/>
      <c r="AI322" s="58"/>
      <c r="AJ322" s="58"/>
      <c r="AK322" s="58"/>
      <c r="AL322" s="58"/>
      <c r="AM322" s="58"/>
    </row>
    <row r="323" spans="2:39" ht="12.75">
      <c r="B323" s="58"/>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7"/>
      <c r="AB323" s="67"/>
      <c r="AC323" s="58"/>
      <c r="AD323" s="58"/>
      <c r="AE323" s="58"/>
      <c r="AF323" s="58"/>
      <c r="AG323" s="58"/>
      <c r="AH323" s="58"/>
      <c r="AI323" s="58"/>
      <c r="AJ323" s="58"/>
      <c r="AK323" s="58"/>
      <c r="AL323" s="58"/>
      <c r="AM323" s="58"/>
    </row>
    <row r="324" spans="2:39" ht="12.75">
      <c r="B324" s="58"/>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7"/>
      <c r="AB324" s="67"/>
      <c r="AC324" s="58"/>
      <c r="AD324" s="58"/>
      <c r="AE324" s="58"/>
      <c r="AF324" s="58"/>
      <c r="AG324" s="58"/>
      <c r="AH324" s="58"/>
      <c r="AI324" s="58"/>
      <c r="AJ324" s="58"/>
      <c r="AK324" s="58"/>
      <c r="AL324" s="58"/>
      <c r="AM324" s="58"/>
    </row>
    <row r="325" spans="2:39" ht="12.75">
      <c r="B325" s="58"/>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7"/>
      <c r="AB325" s="67"/>
      <c r="AC325" s="58"/>
      <c r="AD325" s="58"/>
      <c r="AE325" s="58"/>
      <c r="AF325" s="58"/>
      <c r="AG325" s="58"/>
      <c r="AH325" s="58"/>
      <c r="AI325" s="58"/>
      <c r="AJ325" s="58"/>
      <c r="AK325" s="58"/>
      <c r="AL325" s="58"/>
      <c r="AM325" s="58"/>
    </row>
    <row r="326" spans="2:39" ht="12.75">
      <c r="B326" s="58"/>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7"/>
      <c r="AB326" s="67"/>
      <c r="AC326" s="58"/>
      <c r="AD326" s="58"/>
      <c r="AE326" s="58"/>
      <c r="AF326" s="58"/>
      <c r="AG326" s="58"/>
      <c r="AH326" s="58"/>
      <c r="AI326" s="58"/>
      <c r="AJ326" s="58"/>
      <c r="AK326" s="58"/>
      <c r="AL326" s="58"/>
      <c r="AM326" s="58"/>
    </row>
    <row r="327" spans="2:39" ht="12.75">
      <c r="B327" s="58"/>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7"/>
      <c r="AB327" s="67"/>
      <c r="AC327" s="58"/>
      <c r="AD327" s="58"/>
      <c r="AE327" s="58"/>
      <c r="AF327" s="58"/>
      <c r="AG327" s="58"/>
      <c r="AH327" s="58"/>
      <c r="AI327" s="58"/>
      <c r="AJ327" s="58"/>
      <c r="AK327" s="58"/>
      <c r="AL327" s="58"/>
      <c r="AM327" s="58"/>
    </row>
    <row r="328" spans="2:39" ht="12.75">
      <c r="B328" s="58"/>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7"/>
      <c r="AB328" s="67"/>
      <c r="AC328" s="58"/>
      <c r="AD328" s="58"/>
      <c r="AE328" s="58"/>
      <c r="AF328" s="58"/>
      <c r="AG328" s="58"/>
      <c r="AH328" s="58"/>
      <c r="AI328" s="58"/>
      <c r="AJ328" s="58"/>
      <c r="AK328" s="58"/>
      <c r="AL328" s="58"/>
      <c r="AM328" s="58"/>
    </row>
    <row r="329" spans="2:39" ht="12.75">
      <c r="B329" s="58"/>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7"/>
      <c r="AB329" s="67"/>
      <c r="AC329" s="58"/>
      <c r="AD329" s="58"/>
      <c r="AE329" s="58"/>
      <c r="AF329" s="58"/>
      <c r="AG329" s="58"/>
      <c r="AH329" s="58"/>
      <c r="AI329" s="58"/>
      <c r="AJ329" s="58"/>
      <c r="AK329" s="58"/>
      <c r="AL329" s="58"/>
      <c r="AM329" s="58"/>
    </row>
    <row r="330" spans="2:39" ht="12.75">
      <c r="B330" s="58"/>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7"/>
      <c r="AB330" s="67"/>
      <c r="AC330" s="58"/>
      <c r="AD330" s="58"/>
      <c r="AE330" s="58"/>
      <c r="AF330" s="58"/>
      <c r="AG330" s="58"/>
      <c r="AH330" s="58"/>
      <c r="AI330" s="58"/>
      <c r="AJ330" s="58"/>
      <c r="AK330" s="58"/>
      <c r="AL330" s="58"/>
      <c r="AM330" s="58"/>
    </row>
    <row r="331" spans="2:39" ht="12.75">
      <c r="B331" s="58"/>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7"/>
      <c r="AB331" s="67"/>
      <c r="AC331" s="58"/>
      <c r="AD331" s="58"/>
      <c r="AE331" s="58"/>
      <c r="AF331" s="58"/>
      <c r="AG331" s="58"/>
      <c r="AH331" s="58"/>
      <c r="AI331" s="58"/>
      <c r="AJ331" s="58"/>
      <c r="AK331" s="58"/>
      <c r="AL331" s="58"/>
      <c r="AM331" s="58"/>
    </row>
    <row r="332" spans="2:39" ht="12.75">
      <c r="B332" s="58"/>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7"/>
      <c r="AB332" s="67"/>
      <c r="AC332" s="58"/>
      <c r="AD332" s="58"/>
      <c r="AE332" s="58"/>
      <c r="AF332" s="58"/>
      <c r="AG332" s="58"/>
      <c r="AH332" s="58"/>
      <c r="AI332" s="58"/>
      <c r="AJ332" s="58"/>
      <c r="AK332" s="58"/>
      <c r="AL332" s="58"/>
      <c r="AM332" s="58"/>
    </row>
    <row r="333" spans="2:39" ht="12.75">
      <c r="B333" s="58"/>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7"/>
      <c r="AB333" s="67"/>
      <c r="AC333" s="58"/>
      <c r="AD333" s="58"/>
      <c r="AE333" s="58"/>
      <c r="AF333" s="58"/>
      <c r="AG333" s="58"/>
      <c r="AH333" s="58"/>
      <c r="AI333" s="58"/>
      <c r="AJ333" s="58"/>
      <c r="AK333" s="58"/>
      <c r="AL333" s="58"/>
      <c r="AM333" s="58"/>
    </row>
    <row r="334" spans="2:39" ht="12.75">
      <c r="B334" s="58"/>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7"/>
      <c r="AB334" s="67"/>
      <c r="AC334" s="58"/>
      <c r="AD334" s="58"/>
      <c r="AE334" s="58"/>
      <c r="AF334" s="58"/>
      <c r="AG334" s="58"/>
      <c r="AH334" s="58"/>
      <c r="AI334" s="58"/>
      <c r="AJ334" s="58"/>
      <c r="AK334" s="58"/>
      <c r="AL334" s="58"/>
      <c r="AM334" s="58"/>
    </row>
    <row r="335" spans="2:39" ht="12.75">
      <c r="B335" s="58"/>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7"/>
      <c r="AB335" s="67"/>
      <c r="AC335" s="58"/>
      <c r="AD335" s="58"/>
      <c r="AE335" s="58"/>
      <c r="AF335" s="58"/>
      <c r="AG335" s="58"/>
      <c r="AH335" s="58"/>
      <c r="AI335" s="58"/>
      <c r="AJ335" s="58"/>
      <c r="AK335" s="58"/>
      <c r="AL335" s="58"/>
      <c r="AM335" s="58"/>
    </row>
    <row r="336" spans="2:39" ht="12.75">
      <c r="B336" s="58"/>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7"/>
      <c r="AB336" s="67"/>
      <c r="AC336" s="58"/>
      <c r="AD336" s="58"/>
      <c r="AE336" s="58"/>
      <c r="AF336" s="58"/>
      <c r="AG336" s="58"/>
      <c r="AH336" s="58"/>
      <c r="AI336" s="58"/>
      <c r="AJ336" s="58"/>
      <c r="AK336" s="58"/>
      <c r="AL336" s="58"/>
      <c r="AM336" s="58"/>
    </row>
    <row r="337" spans="2:39" ht="12.75">
      <c r="B337" s="58"/>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7"/>
      <c r="AB337" s="67"/>
      <c r="AC337" s="58"/>
      <c r="AD337" s="58"/>
      <c r="AE337" s="58"/>
      <c r="AF337" s="58"/>
      <c r="AG337" s="58"/>
      <c r="AH337" s="58"/>
      <c r="AI337" s="58"/>
      <c r="AJ337" s="58"/>
      <c r="AK337" s="58"/>
      <c r="AL337" s="58"/>
      <c r="AM337" s="58"/>
    </row>
    <row r="338" spans="2:39" ht="12.75">
      <c r="B338" s="58"/>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7"/>
      <c r="AB338" s="67"/>
      <c r="AC338" s="58"/>
      <c r="AD338" s="58"/>
      <c r="AE338" s="58"/>
      <c r="AF338" s="58"/>
      <c r="AG338" s="58"/>
      <c r="AH338" s="58"/>
      <c r="AI338" s="58"/>
      <c r="AJ338" s="58"/>
      <c r="AK338" s="58"/>
      <c r="AL338" s="58"/>
      <c r="AM338" s="58"/>
    </row>
    <row r="339" spans="2:39" ht="12.75">
      <c r="B339" s="58"/>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7"/>
      <c r="AB339" s="67"/>
      <c r="AC339" s="58"/>
      <c r="AD339" s="58"/>
      <c r="AE339" s="58"/>
      <c r="AF339" s="58"/>
      <c r="AG339" s="58"/>
      <c r="AH339" s="58"/>
      <c r="AI339" s="58"/>
      <c r="AJ339" s="58"/>
      <c r="AK339" s="58"/>
      <c r="AL339" s="58"/>
      <c r="AM339" s="58"/>
    </row>
    <row r="340" spans="2:39" ht="12.75">
      <c r="B340" s="58"/>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7"/>
      <c r="AB340" s="67"/>
      <c r="AC340" s="58"/>
      <c r="AD340" s="58"/>
      <c r="AE340" s="58"/>
      <c r="AF340" s="58"/>
      <c r="AG340" s="58"/>
      <c r="AH340" s="58"/>
      <c r="AI340" s="58"/>
      <c r="AJ340" s="58"/>
      <c r="AK340" s="58"/>
      <c r="AL340" s="58"/>
      <c r="AM340" s="58"/>
    </row>
    <row r="341" spans="2:39" ht="12.75">
      <c r="B341" s="58"/>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7"/>
      <c r="AB341" s="67"/>
      <c r="AC341" s="58"/>
      <c r="AD341" s="58"/>
      <c r="AE341" s="58"/>
      <c r="AF341" s="58"/>
      <c r="AG341" s="58"/>
      <c r="AH341" s="58"/>
      <c r="AI341" s="58"/>
      <c r="AJ341" s="58"/>
      <c r="AK341" s="58"/>
      <c r="AL341" s="58"/>
      <c r="AM341" s="58"/>
    </row>
    <row r="342" spans="2:39" ht="12.75">
      <c r="B342" s="58"/>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7"/>
      <c r="AB342" s="67"/>
      <c r="AC342" s="58"/>
      <c r="AD342" s="58"/>
      <c r="AE342" s="58"/>
      <c r="AF342" s="58"/>
      <c r="AG342" s="58"/>
      <c r="AH342" s="58"/>
      <c r="AI342" s="58"/>
      <c r="AJ342" s="58"/>
      <c r="AK342" s="58"/>
      <c r="AL342" s="58"/>
      <c r="AM342" s="58"/>
    </row>
    <row r="343" spans="2:39" ht="12.75">
      <c r="B343" s="58"/>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7"/>
      <c r="AB343" s="67"/>
      <c r="AC343" s="58"/>
      <c r="AD343" s="58"/>
      <c r="AE343" s="58"/>
      <c r="AF343" s="58"/>
      <c r="AG343" s="58"/>
      <c r="AH343" s="58"/>
      <c r="AI343" s="58"/>
      <c r="AJ343" s="58"/>
      <c r="AK343" s="58"/>
      <c r="AL343" s="58"/>
      <c r="AM343" s="58"/>
    </row>
    <row r="344" spans="2:39" ht="12.75">
      <c r="B344" s="58"/>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7"/>
      <c r="AB344" s="67"/>
      <c r="AC344" s="58"/>
      <c r="AD344" s="58"/>
      <c r="AE344" s="58"/>
      <c r="AF344" s="58"/>
      <c r="AG344" s="58"/>
      <c r="AH344" s="58"/>
      <c r="AI344" s="58"/>
      <c r="AJ344" s="58"/>
      <c r="AK344" s="58"/>
      <c r="AL344" s="58"/>
      <c r="AM344" s="58"/>
    </row>
    <row r="345" spans="2:39" ht="12.75">
      <c r="B345" s="58"/>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7"/>
      <c r="AB345" s="67"/>
      <c r="AC345" s="58"/>
      <c r="AD345" s="58"/>
      <c r="AE345" s="58"/>
      <c r="AF345" s="58"/>
      <c r="AG345" s="58"/>
      <c r="AH345" s="58"/>
      <c r="AI345" s="58"/>
      <c r="AJ345" s="58"/>
      <c r="AK345" s="58"/>
      <c r="AL345" s="58"/>
      <c r="AM345" s="58"/>
    </row>
    <row r="346" spans="2:39" ht="12.75">
      <c r="B346" s="58"/>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7"/>
      <c r="AB346" s="67"/>
      <c r="AC346" s="58"/>
      <c r="AD346" s="58"/>
      <c r="AE346" s="58"/>
      <c r="AF346" s="58"/>
      <c r="AG346" s="58"/>
      <c r="AH346" s="58"/>
      <c r="AI346" s="58"/>
      <c r="AJ346" s="58"/>
      <c r="AK346" s="58"/>
      <c r="AL346" s="58"/>
      <c r="AM346" s="58"/>
    </row>
    <row r="347" spans="2:39" ht="12.75">
      <c r="B347" s="58"/>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7"/>
      <c r="AB347" s="67"/>
      <c r="AC347" s="58"/>
      <c r="AD347" s="58"/>
      <c r="AE347" s="58"/>
      <c r="AF347" s="58"/>
      <c r="AG347" s="58"/>
      <c r="AH347" s="58"/>
      <c r="AI347" s="58"/>
      <c r="AJ347" s="58"/>
      <c r="AK347" s="58"/>
      <c r="AL347" s="58"/>
      <c r="AM347" s="58"/>
    </row>
    <row r="348" spans="2:39" ht="12.75">
      <c r="B348" s="58"/>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7"/>
      <c r="AB348" s="67"/>
      <c r="AC348" s="58"/>
      <c r="AD348" s="58"/>
      <c r="AE348" s="58"/>
      <c r="AF348" s="58"/>
      <c r="AG348" s="58"/>
      <c r="AH348" s="58"/>
      <c r="AI348" s="58"/>
      <c r="AJ348" s="58"/>
      <c r="AK348" s="58"/>
      <c r="AL348" s="58"/>
      <c r="AM348" s="58"/>
    </row>
    <row r="349" spans="2:39" ht="12.75">
      <c r="B349" s="58"/>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7"/>
      <c r="AB349" s="67"/>
      <c r="AC349" s="58"/>
      <c r="AD349" s="58"/>
      <c r="AE349" s="58"/>
      <c r="AF349" s="58"/>
      <c r="AG349" s="58"/>
      <c r="AH349" s="58"/>
      <c r="AI349" s="58"/>
      <c r="AJ349" s="58"/>
      <c r="AK349" s="58"/>
      <c r="AL349" s="58"/>
      <c r="AM349" s="58"/>
    </row>
    <row r="350" spans="2:39" ht="12.75">
      <c r="B350" s="58"/>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7"/>
      <c r="AB350" s="67"/>
      <c r="AC350" s="58"/>
      <c r="AD350" s="58"/>
      <c r="AE350" s="58"/>
      <c r="AF350" s="58"/>
      <c r="AG350" s="58"/>
      <c r="AH350" s="58"/>
      <c r="AI350" s="58"/>
      <c r="AJ350" s="58"/>
      <c r="AK350" s="58"/>
      <c r="AL350" s="58"/>
      <c r="AM350" s="58"/>
    </row>
    <row r="351" spans="2:39" ht="12.75">
      <c r="B351" s="58"/>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7"/>
      <c r="AB351" s="67"/>
      <c r="AC351" s="58"/>
      <c r="AD351" s="58"/>
      <c r="AE351" s="58"/>
      <c r="AF351" s="58"/>
      <c r="AG351" s="58"/>
      <c r="AH351" s="58"/>
      <c r="AI351" s="58"/>
      <c r="AJ351" s="58"/>
      <c r="AK351" s="58"/>
      <c r="AL351" s="58"/>
      <c r="AM351" s="58"/>
    </row>
    <row r="352" spans="2:39" ht="12.75">
      <c r="B352" s="58"/>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7"/>
      <c r="AB352" s="67"/>
      <c r="AC352" s="58"/>
      <c r="AD352" s="58"/>
      <c r="AE352" s="58"/>
      <c r="AF352" s="58"/>
      <c r="AG352" s="58"/>
      <c r="AH352" s="58"/>
      <c r="AI352" s="58"/>
      <c r="AJ352" s="58"/>
      <c r="AK352" s="58"/>
      <c r="AL352" s="58"/>
      <c r="AM352" s="58"/>
    </row>
    <row r="353" spans="2:39" ht="12.75">
      <c r="B353" s="58"/>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7"/>
      <c r="AB353" s="67"/>
      <c r="AC353" s="58"/>
      <c r="AD353" s="58"/>
      <c r="AE353" s="58"/>
      <c r="AF353" s="58"/>
      <c r="AG353" s="58"/>
      <c r="AH353" s="58"/>
      <c r="AI353" s="58"/>
      <c r="AJ353" s="58"/>
      <c r="AK353" s="58"/>
      <c r="AL353" s="58"/>
      <c r="AM353" s="58"/>
    </row>
    <row r="354" spans="2:39" ht="12.75">
      <c r="B354" s="58"/>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7"/>
      <c r="AB354" s="67"/>
      <c r="AC354" s="58"/>
      <c r="AD354" s="58"/>
      <c r="AE354" s="58"/>
      <c r="AF354" s="58"/>
      <c r="AG354" s="58"/>
      <c r="AH354" s="58"/>
      <c r="AI354" s="58"/>
      <c r="AJ354" s="58"/>
      <c r="AK354" s="58"/>
      <c r="AL354" s="58"/>
      <c r="AM354" s="58"/>
    </row>
    <row r="355" spans="2:39" ht="12.75">
      <c r="B355" s="58"/>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7"/>
      <c r="AB355" s="67"/>
      <c r="AC355" s="58"/>
      <c r="AD355" s="58"/>
      <c r="AE355" s="58"/>
      <c r="AF355" s="58"/>
      <c r="AG355" s="58"/>
      <c r="AH355" s="58"/>
      <c r="AI355" s="58"/>
      <c r="AJ355" s="58"/>
      <c r="AK355" s="58"/>
      <c r="AL355" s="58"/>
      <c r="AM355" s="58"/>
    </row>
    <row r="356" spans="2:39" ht="12.75">
      <c r="B356" s="58"/>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7"/>
      <c r="AB356" s="67"/>
      <c r="AC356" s="58"/>
      <c r="AD356" s="58"/>
      <c r="AE356" s="58"/>
      <c r="AF356" s="58"/>
      <c r="AG356" s="58"/>
      <c r="AH356" s="58"/>
      <c r="AI356" s="58"/>
      <c r="AJ356" s="58"/>
      <c r="AK356" s="58"/>
      <c r="AL356" s="58"/>
      <c r="AM356" s="58"/>
    </row>
    <row r="357" spans="2:39" ht="12.75">
      <c r="B357" s="58"/>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7"/>
      <c r="AB357" s="67"/>
      <c r="AC357" s="58"/>
      <c r="AD357" s="58"/>
      <c r="AE357" s="58"/>
      <c r="AF357" s="58"/>
      <c r="AG357" s="58"/>
      <c r="AH357" s="58"/>
      <c r="AI357" s="58"/>
      <c r="AJ357" s="58"/>
      <c r="AK357" s="58"/>
      <c r="AL357" s="58"/>
      <c r="AM357" s="58"/>
    </row>
    <row r="358" spans="2:39" ht="12.75">
      <c r="B358" s="58"/>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7"/>
      <c r="AB358" s="67"/>
      <c r="AC358" s="58"/>
      <c r="AD358" s="58"/>
      <c r="AE358" s="58"/>
      <c r="AF358" s="58"/>
      <c r="AG358" s="58"/>
      <c r="AH358" s="58"/>
      <c r="AI358" s="58"/>
      <c r="AJ358" s="58"/>
      <c r="AK358" s="58"/>
      <c r="AL358" s="58"/>
      <c r="AM358" s="58"/>
    </row>
    <row r="359" spans="2:39" ht="12.75">
      <c r="B359" s="58"/>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7"/>
      <c r="AB359" s="67"/>
      <c r="AC359" s="58"/>
      <c r="AD359" s="58"/>
      <c r="AE359" s="58"/>
      <c r="AF359" s="58"/>
      <c r="AG359" s="58"/>
      <c r="AH359" s="58"/>
      <c r="AI359" s="58"/>
      <c r="AJ359" s="58"/>
      <c r="AK359" s="58"/>
      <c r="AL359" s="58"/>
      <c r="AM359" s="58"/>
    </row>
    <row r="360" spans="2:39" ht="12.75">
      <c r="B360" s="58"/>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7"/>
      <c r="AB360" s="67"/>
      <c r="AC360" s="58"/>
      <c r="AD360" s="58"/>
      <c r="AE360" s="58"/>
      <c r="AF360" s="58"/>
      <c r="AG360" s="58"/>
      <c r="AH360" s="58"/>
      <c r="AI360" s="58"/>
      <c r="AJ360" s="58"/>
      <c r="AK360" s="58"/>
      <c r="AL360" s="58"/>
      <c r="AM360" s="58"/>
    </row>
    <row r="361" spans="2:39" ht="12.75">
      <c r="B361" s="58"/>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7"/>
      <c r="AB361" s="67"/>
      <c r="AC361" s="58"/>
      <c r="AD361" s="58"/>
      <c r="AE361" s="58"/>
      <c r="AF361" s="58"/>
      <c r="AG361" s="58"/>
      <c r="AH361" s="58"/>
      <c r="AI361" s="58"/>
      <c r="AJ361" s="58"/>
      <c r="AK361" s="58"/>
      <c r="AL361" s="58"/>
      <c r="AM361" s="58"/>
    </row>
    <row r="362" spans="2:39" ht="12.75">
      <c r="B362" s="58"/>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7"/>
      <c r="AB362" s="67"/>
      <c r="AC362" s="58"/>
      <c r="AD362" s="58"/>
      <c r="AE362" s="58"/>
      <c r="AF362" s="58"/>
      <c r="AG362" s="58"/>
      <c r="AH362" s="58"/>
      <c r="AI362" s="58"/>
      <c r="AJ362" s="58"/>
      <c r="AK362" s="58"/>
      <c r="AL362" s="58"/>
      <c r="AM362" s="58"/>
    </row>
    <row r="363" spans="2:39" ht="12.75">
      <c r="B363" s="58"/>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7"/>
      <c r="AB363" s="67"/>
      <c r="AC363" s="58"/>
      <c r="AD363" s="58"/>
      <c r="AE363" s="58"/>
      <c r="AF363" s="58"/>
      <c r="AG363" s="58"/>
      <c r="AH363" s="58"/>
      <c r="AI363" s="58"/>
      <c r="AJ363" s="58"/>
      <c r="AK363" s="58"/>
      <c r="AL363" s="58"/>
      <c r="AM363" s="58"/>
    </row>
    <row r="364" spans="2:39" ht="12.75">
      <c r="B364" s="58"/>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7"/>
      <c r="AB364" s="67"/>
      <c r="AC364" s="58"/>
      <c r="AD364" s="58"/>
      <c r="AE364" s="58"/>
      <c r="AF364" s="58"/>
      <c r="AG364" s="58"/>
      <c r="AH364" s="58"/>
      <c r="AI364" s="58"/>
      <c r="AJ364" s="58"/>
      <c r="AK364" s="58"/>
      <c r="AL364" s="58"/>
      <c r="AM364" s="58"/>
    </row>
    <row r="365" spans="2:39" ht="12.75">
      <c r="B365" s="58"/>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7"/>
      <c r="AB365" s="67"/>
      <c r="AC365" s="58"/>
      <c r="AD365" s="58"/>
      <c r="AE365" s="58"/>
      <c r="AF365" s="58"/>
      <c r="AG365" s="58"/>
      <c r="AH365" s="58"/>
      <c r="AI365" s="58"/>
      <c r="AJ365" s="58"/>
      <c r="AK365" s="58"/>
      <c r="AL365" s="58"/>
      <c r="AM365" s="58"/>
    </row>
    <row r="366" spans="2:39" ht="12.75">
      <c r="B366" s="58"/>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7"/>
      <c r="AB366" s="67"/>
      <c r="AC366" s="58"/>
      <c r="AD366" s="58"/>
      <c r="AE366" s="58"/>
      <c r="AF366" s="58"/>
      <c r="AG366" s="58"/>
      <c r="AH366" s="58"/>
      <c r="AI366" s="58"/>
      <c r="AJ366" s="58"/>
      <c r="AK366" s="58"/>
      <c r="AL366" s="58"/>
      <c r="AM366" s="58"/>
    </row>
    <row r="367" spans="2:39" ht="12.75">
      <c r="B367" s="58"/>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7"/>
      <c r="AB367" s="67"/>
      <c r="AC367" s="58"/>
      <c r="AD367" s="58"/>
      <c r="AE367" s="58"/>
      <c r="AF367" s="58"/>
      <c r="AG367" s="58"/>
      <c r="AH367" s="58"/>
      <c r="AI367" s="58"/>
      <c r="AJ367" s="58"/>
      <c r="AK367" s="58"/>
      <c r="AL367" s="58"/>
      <c r="AM367" s="58"/>
    </row>
    <row r="368" spans="2:39" ht="12.75">
      <c r="B368" s="58"/>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7"/>
      <c r="AB368" s="67"/>
      <c r="AC368" s="58"/>
      <c r="AD368" s="58"/>
      <c r="AE368" s="58"/>
      <c r="AF368" s="58"/>
      <c r="AG368" s="58"/>
      <c r="AH368" s="58"/>
      <c r="AI368" s="58"/>
      <c r="AJ368" s="58"/>
      <c r="AK368" s="58"/>
      <c r="AL368" s="58"/>
      <c r="AM368" s="58"/>
    </row>
    <row r="369" spans="2:39" ht="12.75">
      <c r="B369" s="58"/>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7"/>
      <c r="AB369" s="67"/>
      <c r="AC369" s="58"/>
      <c r="AD369" s="58"/>
      <c r="AE369" s="58"/>
      <c r="AF369" s="58"/>
      <c r="AG369" s="58"/>
      <c r="AH369" s="58"/>
      <c r="AI369" s="58"/>
      <c r="AJ369" s="58"/>
      <c r="AK369" s="58"/>
      <c r="AL369" s="58"/>
      <c r="AM369" s="58"/>
    </row>
    <row r="370" spans="2:39" ht="12.75">
      <c r="B370" s="58"/>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7"/>
      <c r="AB370" s="67"/>
      <c r="AC370" s="58"/>
      <c r="AD370" s="58"/>
      <c r="AE370" s="58"/>
      <c r="AF370" s="58"/>
      <c r="AG370" s="58"/>
      <c r="AH370" s="58"/>
      <c r="AI370" s="58"/>
      <c r="AJ370" s="58"/>
      <c r="AK370" s="58"/>
      <c r="AL370" s="58"/>
      <c r="AM370" s="58"/>
    </row>
    <row r="371" spans="2:39" ht="12.75">
      <c r="B371" s="58"/>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7"/>
      <c r="AB371" s="67"/>
      <c r="AC371" s="58"/>
      <c r="AD371" s="58"/>
      <c r="AE371" s="58"/>
      <c r="AF371" s="58"/>
      <c r="AG371" s="58"/>
      <c r="AH371" s="58"/>
      <c r="AI371" s="58"/>
      <c r="AJ371" s="58"/>
      <c r="AK371" s="58"/>
      <c r="AL371" s="58"/>
      <c r="AM371" s="58"/>
    </row>
    <row r="372" spans="2:39" ht="12.75">
      <c r="B372" s="58"/>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7"/>
      <c r="AB372" s="67"/>
      <c r="AC372" s="58"/>
      <c r="AD372" s="58"/>
      <c r="AE372" s="58"/>
      <c r="AF372" s="58"/>
      <c r="AG372" s="58"/>
      <c r="AH372" s="58"/>
      <c r="AI372" s="58"/>
      <c r="AJ372" s="58"/>
      <c r="AK372" s="58"/>
      <c r="AL372" s="58"/>
      <c r="AM372" s="58"/>
    </row>
    <row r="373" spans="2:39" ht="12.75">
      <c r="B373" s="58"/>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7"/>
      <c r="AB373" s="67"/>
      <c r="AC373" s="58"/>
      <c r="AD373" s="58"/>
      <c r="AE373" s="58"/>
      <c r="AF373" s="58"/>
      <c r="AG373" s="58"/>
      <c r="AH373" s="58"/>
      <c r="AI373" s="58"/>
      <c r="AJ373" s="58"/>
      <c r="AK373" s="58"/>
      <c r="AL373" s="58"/>
      <c r="AM373" s="58"/>
    </row>
    <row r="374" spans="2:39" ht="12.75">
      <c r="B374" s="58"/>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7"/>
      <c r="AB374" s="67"/>
      <c r="AC374" s="58"/>
      <c r="AD374" s="58"/>
      <c r="AE374" s="58"/>
      <c r="AF374" s="58"/>
      <c r="AG374" s="58"/>
      <c r="AH374" s="58"/>
      <c r="AI374" s="58"/>
      <c r="AJ374" s="58"/>
      <c r="AK374" s="58"/>
      <c r="AL374" s="58"/>
      <c r="AM374" s="58"/>
    </row>
    <row r="375" spans="2:39" ht="12.75">
      <c r="B375" s="58"/>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7"/>
      <c r="AB375" s="67"/>
      <c r="AC375" s="58"/>
      <c r="AD375" s="58"/>
      <c r="AE375" s="58"/>
      <c r="AF375" s="58"/>
      <c r="AG375" s="58"/>
      <c r="AH375" s="58"/>
      <c r="AI375" s="58"/>
      <c r="AJ375" s="58"/>
      <c r="AK375" s="58"/>
      <c r="AL375" s="58"/>
      <c r="AM375" s="58"/>
    </row>
    <row r="376" spans="2:39" ht="12.75">
      <c r="B376" s="58"/>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7"/>
      <c r="AB376" s="67"/>
      <c r="AC376" s="58"/>
      <c r="AD376" s="58"/>
      <c r="AE376" s="58"/>
      <c r="AF376" s="58"/>
      <c r="AG376" s="58"/>
      <c r="AH376" s="58"/>
      <c r="AI376" s="58"/>
      <c r="AJ376" s="58"/>
      <c r="AK376" s="58"/>
      <c r="AL376" s="58"/>
      <c r="AM376" s="58"/>
    </row>
    <row r="377" spans="2:39" ht="12.75">
      <c r="B377" s="58"/>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7"/>
      <c r="AB377" s="67"/>
      <c r="AC377" s="58"/>
      <c r="AD377" s="58"/>
      <c r="AE377" s="58"/>
      <c r="AF377" s="58"/>
      <c r="AG377" s="58"/>
      <c r="AH377" s="58"/>
      <c r="AI377" s="58"/>
      <c r="AJ377" s="58"/>
      <c r="AK377" s="58"/>
      <c r="AL377" s="58"/>
      <c r="AM377" s="58"/>
    </row>
    <row r="378" spans="2:39" ht="12.75">
      <c r="B378" s="58"/>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7"/>
      <c r="AB378" s="67"/>
      <c r="AC378" s="58"/>
      <c r="AD378" s="58"/>
      <c r="AE378" s="58"/>
      <c r="AF378" s="58"/>
      <c r="AG378" s="58"/>
      <c r="AH378" s="58"/>
      <c r="AI378" s="58"/>
      <c r="AJ378" s="58"/>
      <c r="AK378" s="58"/>
      <c r="AL378" s="58"/>
      <c r="AM378" s="58"/>
    </row>
    <row r="379" spans="2:39" ht="12.75">
      <c r="B379" s="58"/>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7"/>
      <c r="AB379" s="67"/>
      <c r="AC379" s="58"/>
      <c r="AD379" s="58"/>
      <c r="AE379" s="58"/>
      <c r="AF379" s="58"/>
      <c r="AG379" s="58"/>
      <c r="AH379" s="58"/>
      <c r="AI379" s="58"/>
      <c r="AJ379" s="58"/>
      <c r="AK379" s="58"/>
      <c r="AL379" s="58"/>
      <c r="AM379" s="58"/>
    </row>
    <row r="380" spans="2:39" ht="12.75">
      <c r="B380" s="58"/>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7"/>
      <c r="AB380" s="67"/>
      <c r="AC380" s="58"/>
      <c r="AD380" s="58"/>
      <c r="AE380" s="58"/>
      <c r="AF380" s="58"/>
      <c r="AG380" s="58"/>
      <c r="AH380" s="58"/>
      <c r="AI380" s="58"/>
      <c r="AJ380" s="58"/>
      <c r="AK380" s="58"/>
      <c r="AL380" s="58"/>
      <c r="AM380" s="58"/>
    </row>
    <row r="381" spans="2:39" ht="12.75">
      <c r="B381" s="58"/>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7"/>
      <c r="AB381" s="67"/>
      <c r="AC381" s="58"/>
      <c r="AD381" s="58"/>
      <c r="AE381" s="58"/>
      <c r="AF381" s="58"/>
      <c r="AG381" s="58"/>
      <c r="AH381" s="58"/>
      <c r="AI381" s="58"/>
      <c r="AJ381" s="58"/>
      <c r="AK381" s="58"/>
      <c r="AL381" s="58"/>
      <c r="AM381" s="58"/>
    </row>
    <row r="382" spans="2:39" ht="12.75">
      <c r="B382" s="58"/>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7"/>
      <c r="AB382" s="67"/>
      <c r="AC382" s="58"/>
      <c r="AD382" s="58"/>
      <c r="AE382" s="58"/>
      <c r="AF382" s="58"/>
      <c r="AG382" s="58"/>
      <c r="AH382" s="58"/>
      <c r="AI382" s="58"/>
      <c r="AJ382" s="58"/>
      <c r="AK382" s="58"/>
      <c r="AL382" s="58"/>
      <c r="AM382" s="58"/>
    </row>
    <row r="383" spans="2:39" ht="12.75">
      <c r="B383" s="58"/>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7"/>
      <c r="AB383" s="67"/>
      <c r="AC383" s="58"/>
      <c r="AD383" s="58"/>
      <c r="AE383" s="58"/>
      <c r="AF383" s="58"/>
      <c r="AG383" s="58"/>
      <c r="AH383" s="58"/>
      <c r="AI383" s="58"/>
      <c r="AJ383" s="58"/>
      <c r="AK383" s="58"/>
      <c r="AL383" s="58"/>
      <c r="AM383" s="58"/>
    </row>
    <row r="384" spans="2:39" ht="12.75">
      <c r="B384" s="58"/>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7"/>
      <c r="AB384" s="67"/>
      <c r="AC384" s="58"/>
      <c r="AD384" s="58"/>
      <c r="AE384" s="58"/>
      <c r="AF384" s="58"/>
      <c r="AG384" s="58"/>
      <c r="AH384" s="58"/>
      <c r="AI384" s="58"/>
      <c r="AJ384" s="58"/>
      <c r="AK384" s="58"/>
      <c r="AL384" s="58"/>
      <c r="AM384" s="58"/>
    </row>
    <row r="385" spans="2:39" ht="12.75">
      <c r="B385" s="58"/>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7"/>
      <c r="AB385" s="67"/>
      <c r="AC385" s="58"/>
      <c r="AD385" s="58"/>
      <c r="AE385" s="58"/>
      <c r="AF385" s="58"/>
      <c r="AG385" s="58"/>
      <c r="AH385" s="58"/>
      <c r="AI385" s="58"/>
      <c r="AJ385" s="58"/>
      <c r="AK385" s="58"/>
      <c r="AL385" s="58"/>
      <c r="AM385" s="58"/>
    </row>
    <row r="386" spans="2:39" ht="12.75">
      <c r="B386" s="58"/>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7"/>
      <c r="AB386" s="67"/>
      <c r="AC386" s="58"/>
      <c r="AD386" s="58"/>
      <c r="AE386" s="58"/>
      <c r="AF386" s="58"/>
      <c r="AG386" s="58"/>
      <c r="AH386" s="58"/>
      <c r="AI386" s="58"/>
      <c r="AJ386" s="58"/>
      <c r="AK386" s="58"/>
      <c r="AL386" s="58"/>
      <c r="AM386" s="58"/>
    </row>
    <row r="387" spans="2:39" ht="12.75">
      <c r="B387" s="58"/>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7"/>
      <c r="AB387" s="67"/>
      <c r="AC387" s="58"/>
      <c r="AD387" s="58"/>
      <c r="AE387" s="58"/>
      <c r="AF387" s="58"/>
      <c r="AG387" s="58"/>
      <c r="AH387" s="58"/>
      <c r="AI387" s="58"/>
      <c r="AJ387" s="58"/>
      <c r="AK387" s="58"/>
      <c r="AL387" s="58"/>
      <c r="AM387" s="58"/>
    </row>
    <row r="388" spans="2:39" ht="12.75">
      <c r="B388" s="58"/>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7"/>
      <c r="AB388" s="67"/>
      <c r="AC388" s="58"/>
      <c r="AD388" s="58"/>
      <c r="AE388" s="58"/>
      <c r="AF388" s="58"/>
      <c r="AG388" s="58"/>
      <c r="AH388" s="58"/>
      <c r="AI388" s="58"/>
      <c r="AJ388" s="58"/>
      <c r="AK388" s="58"/>
      <c r="AL388" s="58"/>
      <c r="AM388" s="58"/>
    </row>
    <row r="389" spans="2:39" ht="12.75">
      <c r="B389" s="58"/>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7"/>
      <c r="AB389" s="67"/>
      <c r="AC389" s="58"/>
      <c r="AD389" s="58"/>
      <c r="AE389" s="58"/>
      <c r="AF389" s="58"/>
      <c r="AG389" s="58"/>
      <c r="AH389" s="58"/>
      <c r="AI389" s="58"/>
      <c r="AJ389" s="58"/>
      <c r="AK389" s="58"/>
      <c r="AL389" s="58"/>
      <c r="AM389" s="58"/>
    </row>
    <row r="390" spans="2:39" ht="12.75">
      <c r="B390" s="58"/>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7"/>
      <c r="AB390" s="67"/>
      <c r="AC390" s="58"/>
      <c r="AD390" s="58"/>
      <c r="AE390" s="58"/>
      <c r="AF390" s="58"/>
      <c r="AG390" s="58"/>
      <c r="AH390" s="58"/>
      <c r="AI390" s="58"/>
      <c r="AJ390" s="58"/>
      <c r="AK390" s="58"/>
      <c r="AL390" s="58"/>
      <c r="AM390" s="58"/>
    </row>
    <row r="391" spans="2:39" ht="12.75">
      <c r="B391" s="58"/>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7"/>
      <c r="AB391" s="67"/>
      <c r="AC391" s="58"/>
      <c r="AD391" s="58"/>
      <c r="AE391" s="58"/>
      <c r="AF391" s="58"/>
      <c r="AG391" s="58"/>
      <c r="AH391" s="58"/>
      <c r="AI391" s="58"/>
      <c r="AJ391" s="58"/>
      <c r="AK391" s="58"/>
      <c r="AL391" s="58"/>
      <c r="AM391" s="58"/>
    </row>
    <row r="392" spans="2:39" ht="12.75">
      <c r="B392" s="58"/>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7"/>
      <c r="AB392" s="67"/>
      <c r="AC392" s="58"/>
      <c r="AD392" s="58"/>
      <c r="AE392" s="58"/>
      <c r="AF392" s="58"/>
      <c r="AG392" s="58"/>
      <c r="AH392" s="58"/>
      <c r="AI392" s="58"/>
      <c r="AJ392" s="58"/>
      <c r="AK392" s="58"/>
      <c r="AL392" s="58"/>
      <c r="AM392" s="58"/>
    </row>
    <row r="393" spans="2:39" ht="12.75">
      <c r="B393" s="58"/>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7"/>
      <c r="AB393" s="67"/>
      <c r="AC393" s="58"/>
      <c r="AD393" s="58"/>
      <c r="AE393" s="58"/>
      <c r="AF393" s="58"/>
      <c r="AG393" s="58"/>
      <c r="AH393" s="58"/>
      <c r="AI393" s="58"/>
      <c r="AJ393" s="58"/>
      <c r="AK393" s="58"/>
      <c r="AL393" s="58"/>
      <c r="AM393" s="58"/>
    </row>
    <row r="394" spans="2:39" ht="12.75">
      <c r="B394" s="58"/>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7"/>
      <c r="AB394" s="67"/>
      <c r="AC394" s="58"/>
      <c r="AD394" s="58"/>
      <c r="AE394" s="58"/>
      <c r="AF394" s="58"/>
      <c r="AG394" s="58"/>
      <c r="AH394" s="58"/>
      <c r="AI394" s="58"/>
      <c r="AJ394" s="58"/>
      <c r="AK394" s="58"/>
      <c r="AL394" s="58"/>
      <c r="AM394" s="58"/>
    </row>
    <row r="395" spans="2:39" ht="12.75">
      <c r="B395" s="58"/>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7"/>
      <c r="AB395" s="67"/>
      <c r="AC395" s="58"/>
      <c r="AD395" s="58"/>
      <c r="AE395" s="58"/>
      <c r="AF395" s="58"/>
      <c r="AG395" s="58"/>
      <c r="AH395" s="58"/>
      <c r="AI395" s="58"/>
      <c r="AJ395" s="58"/>
      <c r="AK395" s="58"/>
      <c r="AL395" s="58"/>
      <c r="AM395" s="58"/>
    </row>
    <row r="396" spans="2:39" ht="12.75">
      <c r="B396" s="58"/>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7"/>
      <c r="AB396" s="67"/>
      <c r="AC396" s="58"/>
      <c r="AD396" s="58"/>
      <c r="AE396" s="58"/>
      <c r="AF396" s="58"/>
      <c r="AG396" s="58"/>
      <c r="AH396" s="58"/>
      <c r="AI396" s="58"/>
      <c r="AJ396" s="58"/>
      <c r="AK396" s="58"/>
      <c r="AL396" s="58"/>
      <c r="AM396" s="58"/>
    </row>
    <row r="397" spans="2:39" ht="12.75">
      <c r="B397" s="58"/>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7"/>
      <c r="AB397" s="67"/>
      <c r="AC397" s="58"/>
      <c r="AD397" s="58"/>
      <c r="AE397" s="58"/>
      <c r="AF397" s="58"/>
      <c r="AG397" s="58"/>
      <c r="AH397" s="58"/>
      <c r="AI397" s="58"/>
      <c r="AJ397" s="58"/>
      <c r="AK397" s="58"/>
      <c r="AL397" s="58"/>
      <c r="AM397" s="58"/>
    </row>
    <row r="398" spans="2:39" ht="12.75">
      <c r="B398" s="58"/>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7"/>
      <c r="AB398" s="67"/>
      <c r="AC398" s="58"/>
      <c r="AD398" s="58"/>
      <c r="AE398" s="58"/>
      <c r="AF398" s="58"/>
      <c r="AG398" s="58"/>
      <c r="AH398" s="58"/>
      <c r="AI398" s="58"/>
      <c r="AJ398" s="58"/>
      <c r="AK398" s="58"/>
      <c r="AL398" s="58"/>
      <c r="AM398" s="58"/>
    </row>
    <row r="399" spans="2:39" ht="12.75">
      <c r="B399" s="58"/>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7"/>
      <c r="AB399" s="67"/>
      <c r="AC399" s="58"/>
      <c r="AD399" s="58"/>
      <c r="AE399" s="58"/>
      <c r="AF399" s="58"/>
      <c r="AG399" s="58"/>
      <c r="AH399" s="58"/>
      <c r="AI399" s="58"/>
      <c r="AJ399" s="58"/>
      <c r="AK399" s="58"/>
      <c r="AL399" s="58"/>
      <c r="AM399" s="58"/>
    </row>
    <row r="400" spans="2:39" ht="12.75">
      <c r="B400" s="58"/>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7"/>
      <c r="AB400" s="67"/>
      <c r="AC400" s="58"/>
      <c r="AD400" s="58"/>
      <c r="AE400" s="58"/>
      <c r="AF400" s="58"/>
      <c r="AG400" s="58"/>
      <c r="AH400" s="58"/>
      <c r="AI400" s="58"/>
      <c r="AJ400" s="58"/>
      <c r="AK400" s="58"/>
      <c r="AL400" s="58"/>
      <c r="AM400" s="58"/>
    </row>
    <row r="401" spans="2:39" ht="12.75">
      <c r="B401" s="58"/>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7"/>
      <c r="AB401" s="67"/>
      <c r="AC401" s="58"/>
      <c r="AD401" s="58"/>
      <c r="AE401" s="58"/>
      <c r="AF401" s="58"/>
      <c r="AG401" s="58"/>
      <c r="AH401" s="58"/>
      <c r="AI401" s="58"/>
      <c r="AJ401" s="58"/>
      <c r="AK401" s="58"/>
      <c r="AL401" s="58"/>
      <c r="AM401" s="58"/>
    </row>
    <row r="402" spans="2:39" ht="12.75">
      <c r="B402" s="58"/>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7"/>
      <c r="AB402" s="67"/>
      <c r="AC402" s="58"/>
      <c r="AD402" s="58"/>
      <c r="AE402" s="58"/>
      <c r="AF402" s="58"/>
      <c r="AG402" s="58"/>
      <c r="AH402" s="58"/>
      <c r="AI402" s="58"/>
      <c r="AJ402" s="58"/>
      <c r="AK402" s="58"/>
      <c r="AL402" s="58"/>
      <c r="AM402" s="58"/>
    </row>
    <row r="403" spans="2:39" ht="12.75">
      <c r="B403" s="58"/>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7"/>
      <c r="AB403" s="67"/>
      <c r="AC403" s="58"/>
      <c r="AD403" s="58"/>
      <c r="AE403" s="58"/>
      <c r="AF403" s="58"/>
      <c r="AG403" s="58"/>
      <c r="AH403" s="58"/>
      <c r="AI403" s="58"/>
      <c r="AJ403" s="58"/>
      <c r="AK403" s="58"/>
      <c r="AL403" s="58"/>
      <c r="AM403" s="58"/>
    </row>
    <row r="404" spans="2:39" ht="12.75">
      <c r="B404" s="58"/>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7"/>
      <c r="AB404" s="67"/>
      <c r="AC404" s="58"/>
      <c r="AD404" s="58"/>
      <c r="AE404" s="58"/>
      <c r="AF404" s="58"/>
      <c r="AG404" s="58"/>
      <c r="AH404" s="58"/>
      <c r="AI404" s="58"/>
      <c r="AJ404" s="58"/>
      <c r="AK404" s="58"/>
      <c r="AL404" s="58"/>
      <c r="AM404" s="58"/>
    </row>
    <row r="405" spans="2:39" ht="12.75">
      <c r="B405" s="58"/>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7"/>
      <c r="AB405" s="67"/>
      <c r="AC405" s="58"/>
      <c r="AD405" s="58"/>
      <c r="AE405" s="58"/>
      <c r="AF405" s="58"/>
      <c r="AG405" s="58"/>
      <c r="AH405" s="58"/>
      <c r="AI405" s="58"/>
      <c r="AJ405" s="58"/>
      <c r="AK405" s="58"/>
      <c r="AL405" s="58"/>
      <c r="AM405" s="58"/>
    </row>
    <row r="406" spans="2:39" ht="12.75">
      <c r="B406" s="58"/>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7"/>
      <c r="AB406" s="67"/>
      <c r="AC406" s="58"/>
      <c r="AD406" s="58"/>
      <c r="AE406" s="58"/>
      <c r="AF406" s="58"/>
      <c r="AG406" s="58"/>
      <c r="AH406" s="58"/>
      <c r="AI406" s="58"/>
      <c r="AJ406" s="58"/>
      <c r="AK406" s="58"/>
      <c r="AL406" s="58"/>
      <c r="AM406" s="58"/>
    </row>
    <row r="407" spans="2:39" ht="12.75">
      <c r="B407" s="58"/>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7"/>
      <c r="AB407" s="67"/>
      <c r="AC407" s="58"/>
      <c r="AD407" s="58"/>
      <c r="AE407" s="58"/>
      <c r="AF407" s="58"/>
      <c r="AG407" s="58"/>
      <c r="AH407" s="58"/>
      <c r="AI407" s="58"/>
      <c r="AJ407" s="58"/>
      <c r="AK407" s="58"/>
      <c r="AL407" s="58"/>
      <c r="AM407" s="58"/>
    </row>
    <row r="408" spans="2:39" ht="12.75">
      <c r="B408" s="58"/>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7"/>
      <c r="AB408" s="67"/>
      <c r="AC408" s="58"/>
      <c r="AD408" s="58"/>
      <c r="AE408" s="58"/>
      <c r="AF408" s="58"/>
      <c r="AG408" s="58"/>
      <c r="AH408" s="58"/>
      <c r="AI408" s="58"/>
      <c r="AJ408" s="58"/>
      <c r="AK408" s="58"/>
      <c r="AL408" s="58"/>
      <c r="AM408" s="58"/>
    </row>
    <row r="409" spans="2:39" ht="12.75">
      <c r="B409" s="58"/>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7"/>
      <c r="AB409" s="67"/>
      <c r="AC409" s="58"/>
      <c r="AD409" s="58"/>
      <c r="AE409" s="58"/>
      <c r="AF409" s="58"/>
      <c r="AG409" s="58"/>
      <c r="AH409" s="58"/>
      <c r="AI409" s="58"/>
      <c r="AJ409" s="58"/>
      <c r="AK409" s="58"/>
      <c r="AL409" s="58"/>
      <c r="AM409" s="58"/>
    </row>
    <row r="410" spans="2:39" ht="12.75">
      <c r="B410" s="58"/>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7"/>
      <c r="AB410" s="67"/>
      <c r="AC410" s="58"/>
      <c r="AD410" s="58"/>
      <c r="AE410" s="58"/>
      <c r="AF410" s="58"/>
      <c r="AG410" s="58"/>
      <c r="AH410" s="58"/>
      <c r="AI410" s="58"/>
      <c r="AJ410" s="58"/>
      <c r="AK410" s="58"/>
      <c r="AL410" s="58"/>
      <c r="AM410" s="58"/>
    </row>
    <row r="411" spans="2:39" ht="12.75">
      <c r="B411" s="58"/>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7"/>
      <c r="AB411" s="67"/>
      <c r="AC411" s="58"/>
      <c r="AD411" s="58"/>
      <c r="AE411" s="58"/>
      <c r="AF411" s="58"/>
      <c r="AG411" s="58"/>
      <c r="AH411" s="58"/>
      <c r="AI411" s="58"/>
      <c r="AJ411" s="58"/>
      <c r="AK411" s="58"/>
      <c r="AL411" s="58"/>
      <c r="AM411" s="58"/>
    </row>
    <row r="412" spans="2:39" ht="12.75">
      <c r="B412" s="58"/>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7"/>
      <c r="AB412" s="67"/>
      <c r="AC412" s="58"/>
      <c r="AD412" s="58"/>
      <c r="AE412" s="58"/>
      <c r="AF412" s="58"/>
      <c r="AG412" s="58"/>
      <c r="AH412" s="58"/>
      <c r="AI412" s="58"/>
      <c r="AJ412" s="58"/>
      <c r="AK412" s="58"/>
      <c r="AL412" s="58"/>
      <c r="AM412" s="58"/>
    </row>
    <row r="413" spans="2:39" ht="12.75">
      <c r="B413" s="58"/>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7"/>
      <c r="AB413" s="67"/>
      <c r="AC413" s="58"/>
      <c r="AD413" s="58"/>
      <c r="AE413" s="58"/>
      <c r="AF413" s="58"/>
      <c r="AG413" s="58"/>
      <c r="AH413" s="58"/>
      <c r="AI413" s="58"/>
      <c r="AJ413" s="58"/>
      <c r="AK413" s="58"/>
      <c r="AL413" s="58"/>
      <c r="AM413" s="58"/>
    </row>
    <row r="414" spans="2:39" ht="12.75">
      <c r="B414" s="58"/>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7"/>
      <c r="AB414" s="67"/>
      <c r="AC414" s="58"/>
      <c r="AD414" s="58"/>
      <c r="AE414" s="58"/>
      <c r="AF414" s="58"/>
      <c r="AG414" s="58"/>
      <c r="AH414" s="58"/>
      <c r="AI414" s="58"/>
      <c r="AJ414" s="58"/>
      <c r="AK414" s="58"/>
      <c r="AL414" s="58"/>
      <c r="AM414" s="58"/>
    </row>
    <row r="415" spans="2:39" ht="12.75">
      <c r="B415" s="58"/>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7"/>
      <c r="AB415" s="67"/>
      <c r="AC415" s="58"/>
      <c r="AD415" s="58"/>
      <c r="AE415" s="58"/>
      <c r="AF415" s="58"/>
      <c r="AG415" s="58"/>
      <c r="AH415" s="58"/>
      <c r="AI415" s="58"/>
      <c r="AJ415" s="58"/>
      <c r="AK415" s="58"/>
      <c r="AL415" s="58"/>
      <c r="AM415" s="58"/>
    </row>
    <row r="416" spans="2:39" ht="12.75">
      <c r="B416" s="58"/>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7"/>
      <c r="AB416" s="67"/>
      <c r="AC416" s="58"/>
      <c r="AD416" s="58"/>
      <c r="AE416" s="58"/>
      <c r="AF416" s="58"/>
      <c r="AG416" s="58"/>
      <c r="AH416" s="58"/>
      <c r="AI416" s="58"/>
      <c r="AJ416" s="58"/>
      <c r="AK416" s="58"/>
      <c r="AL416" s="58"/>
      <c r="AM416" s="58"/>
    </row>
    <row r="417" spans="2:39" ht="12.75">
      <c r="B417" s="58"/>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7"/>
      <c r="AB417" s="67"/>
      <c r="AC417" s="58"/>
      <c r="AD417" s="58"/>
      <c r="AE417" s="58"/>
      <c r="AF417" s="58"/>
      <c r="AG417" s="58"/>
      <c r="AH417" s="58"/>
      <c r="AI417" s="58"/>
      <c r="AJ417" s="58"/>
      <c r="AK417" s="58"/>
      <c r="AL417" s="58"/>
      <c r="AM417" s="58"/>
    </row>
    <row r="418" spans="2:39" ht="12.75">
      <c r="B418" s="58"/>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7"/>
      <c r="AB418" s="67"/>
      <c r="AC418" s="58"/>
      <c r="AD418" s="58"/>
      <c r="AE418" s="58"/>
      <c r="AF418" s="58"/>
      <c r="AG418" s="58"/>
      <c r="AH418" s="58"/>
      <c r="AI418" s="58"/>
      <c r="AJ418" s="58"/>
      <c r="AK418" s="58"/>
      <c r="AL418" s="58"/>
      <c r="AM418" s="58"/>
    </row>
    <row r="419" spans="2:39" ht="12.75">
      <c r="B419" s="58"/>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7"/>
      <c r="AB419" s="67"/>
      <c r="AC419" s="58"/>
      <c r="AD419" s="58"/>
      <c r="AE419" s="58"/>
      <c r="AF419" s="58"/>
      <c r="AG419" s="58"/>
      <c r="AH419" s="58"/>
      <c r="AI419" s="58"/>
      <c r="AJ419" s="58"/>
      <c r="AK419" s="58"/>
      <c r="AL419" s="58"/>
      <c r="AM419" s="58"/>
    </row>
    <row r="420" spans="2:39" ht="12.75">
      <c r="B420" s="58"/>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7"/>
      <c r="AB420" s="67"/>
      <c r="AC420" s="58"/>
      <c r="AD420" s="58"/>
      <c r="AE420" s="58"/>
      <c r="AF420" s="58"/>
      <c r="AG420" s="58"/>
      <c r="AH420" s="58"/>
      <c r="AI420" s="58"/>
      <c r="AJ420" s="58"/>
      <c r="AK420" s="58"/>
      <c r="AL420" s="58"/>
      <c r="AM420" s="58"/>
    </row>
    <row r="421" spans="2:39" ht="12.75">
      <c r="B421" s="58"/>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7"/>
      <c r="AB421" s="67"/>
      <c r="AC421" s="58"/>
      <c r="AD421" s="58"/>
      <c r="AE421" s="58"/>
      <c r="AF421" s="58"/>
      <c r="AG421" s="58"/>
      <c r="AH421" s="58"/>
      <c r="AI421" s="58"/>
      <c r="AJ421" s="58"/>
      <c r="AK421" s="58"/>
      <c r="AL421" s="58"/>
      <c r="AM421" s="58"/>
    </row>
    <row r="422" spans="2:39" ht="12.75">
      <c r="B422" s="58"/>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7"/>
      <c r="AB422" s="67"/>
      <c r="AC422" s="58"/>
      <c r="AD422" s="58"/>
      <c r="AE422" s="58"/>
      <c r="AF422" s="58"/>
      <c r="AG422" s="58"/>
      <c r="AH422" s="58"/>
      <c r="AI422" s="58"/>
      <c r="AJ422" s="58"/>
      <c r="AK422" s="58"/>
      <c r="AL422" s="58"/>
      <c r="AM422" s="58"/>
    </row>
    <row r="423" spans="2:39" ht="12.75">
      <c r="B423" s="58"/>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7"/>
      <c r="AB423" s="67"/>
      <c r="AC423" s="58"/>
      <c r="AD423" s="58"/>
      <c r="AE423" s="58"/>
      <c r="AF423" s="58"/>
      <c r="AG423" s="58"/>
      <c r="AH423" s="58"/>
      <c r="AI423" s="58"/>
      <c r="AJ423" s="58"/>
      <c r="AK423" s="58"/>
      <c r="AL423" s="58"/>
      <c r="AM423" s="58"/>
    </row>
    <row r="424" spans="2:39" ht="12.75">
      <c r="B424" s="58"/>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7"/>
      <c r="AB424" s="67"/>
      <c r="AC424" s="58"/>
      <c r="AD424" s="58"/>
      <c r="AE424" s="58"/>
      <c r="AF424" s="58"/>
      <c r="AG424" s="58"/>
      <c r="AH424" s="58"/>
      <c r="AI424" s="58"/>
      <c r="AJ424" s="58"/>
      <c r="AK424" s="58"/>
      <c r="AL424" s="58"/>
      <c r="AM424" s="58"/>
    </row>
    <row r="425" spans="2:39" ht="12.75">
      <c r="B425" s="58"/>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7"/>
      <c r="AB425" s="67"/>
      <c r="AC425" s="58"/>
      <c r="AD425" s="58"/>
      <c r="AE425" s="58"/>
      <c r="AF425" s="58"/>
      <c r="AG425" s="58"/>
      <c r="AH425" s="58"/>
      <c r="AI425" s="58"/>
      <c r="AJ425" s="58"/>
      <c r="AK425" s="58"/>
      <c r="AL425" s="58"/>
      <c r="AM425" s="58"/>
    </row>
    <row r="426" spans="2:39" ht="12.75">
      <c r="B426" s="58"/>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7"/>
      <c r="AB426" s="67"/>
      <c r="AC426" s="58"/>
      <c r="AD426" s="58"/>
      <c r="AE426" s="58"/>
      <c r="AF426" s="58"/>
      <c r="AG426" s="58"/>
      <c r="AH426" s="58"/>
      <c r="AI426" s="58"/>
      <c r="AJ426" s="58"/>
      <c r="AK426" s="58"/>
      <c r="AL426" s="58"/>
      <c r="AM426" s="58"/>
    </row>
    <row r="427" spans="2:39" ht="12.75">
      <c r="B427" s="58"/>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7"/>
      <c r="AB427" s="67"/>
      <c r="AC427" s="58"/>
      <c r="AD427" s="58"/>
      <c r="AE427" s="58"/>
      <c r="AF427" s="58"/>
      <c r="AG427" s="58"/>
      <c r="AH427" s="58"/>
      <c r="AI427" s="58"/>
      <c r="AJ427" s="58"/>
      <c r="AK427" s="58"/>
      <c r="AL427" s="58"/>
      <c r="AM427" s="58"/>
    </row>
    <row r="428" spans="2:39" ht="12.75">
      <c r="B428" s="58"/>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7"/>
      <c r="AB428" s="67"/>
      <c r="AC428" s="58"/>
      <c r="AD428" s="58"/>
      <c r="AE428" s="58"/>
      <c r="AF428" s="58"/>
      <c r="AG428" s="58"/>
      <c r="AH428" s="58"/>
      <c r="AI428" s="58"/>
      <c r="AJ428" s="58"/>
      <c r="AK428" s="58"/>
      <c r="AL428" s="58"/>
      <c r="AM428" s="58"/>
    </row>
    <row r="429" spans="2:39" ht="12.75">
      <c r="B429" s="58"/>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7"/>
      <c r="AB429" s="67"/>
      <c r="AC429" s="58"/>
      <c r="AD429" s="58"/>
      <c r="AE429" s="58"/>
      <c r="AF429" s="58"/>
      <c r="AG429" s="58"/>
      <c r="AH429" s="58"/>
      <c r="AI429" s="58"/>
      <c r="AJ429" s="58"/>
      <c r="AK429" s="58"/>
      <c r="AL429" s="58"/>
      <c r="AM429" s="58"/>
    </row>
    <row r="430" spans="2:39" ht="12.75">
      <c r="B430" s="58"/>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7"/>
      <c r="AB430" s="67"/>
      <c r="AC430" s="58"/>
      <c r="AD430" s="58"/>
      <c r="AE430" s="58"/>
      <c r="AF430" s="58"/>
      <c r="AG430" s="58"/>
      <c r="AH430" s="58"/>
      <c r="AI430" s="58"/>
      <c r="AJ430" s="58"/>
      <c r="AK430" s="58"/>
      <c r="AL430" s="58"/>
      <c r="AM430" s="58"/>
    </row>
    <row r="431" spans="2:39" ht="12.75">
      <c r="B431" s="58"/>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7"/>
      <c r="AB431" s="67"/>
      <c r="AC431" s="58"/>
      <c r="AD431" s="58"/>
      <c r="AE431" s="58"/>
      <c r="AF431" s="58"/>
      <c r="AG431" s="58"/>
      <c r="AH431" s="58"/>
      <c r="AI431" s="58"/>
      <c r="AJ431" s="58"/>
      <c r="AK431" s="58"/>
      <c r="AL431" s="58"/>
      <c r="AM431" s="58"/>
    </row>
    <row r="432" spans="2:39" ht="12.75">
      <c r="B432" s="58"/>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7"/>
      <c r="AB432" s="67"/>
      <c r="AC432" s="58"/>
      <c r="AD432" s="58"/>
      <c r="AE432" s="58"/>
      <c r="AF432" s="58"/>
      <c r="AG432" s="58"/>
      <c r="AH432" s="58"/>
      <c r="AI432" s="58"/>
      <c r="AJ432" s="58"/>
      <c r="AK432" s="58"/>
      <c r="AL432" s="58"/>
      <c r="AM432" s="58"/>
    </row>
    <row r="433" spans="2:39" ht="12.75">
      <c r="B433" s="58"/>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7"/>
      <c r="AB433" s="67"/>
      <c r="AC433" s="58"/>
      <c r="AD433" s="58"/>
      <c r="AE433" s="58"/>
      <c r="AF433" s="58"/>
      <c r="AG433" s="58"/>
      <c r="AH433" s="58"/>
      <c r="AI433" s="58"/>
      <c r="AJ433" s="58"/>
      <c r="AK433" s="58"/>
      <c r="AL433" s="58"/>
      <c r="AM433" s="58"/>
    </row>
    <row r="434" spans="2:39" ht="12.75">
      <c r="B434" s="58"/>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7"/>
      <c r="AB434" s="67"/>
      <c r="AC434" s="58"/>
      <c r="AD434" s="58"/>
      <c r="AE434" s="58"/>
      <c r="AF434" s="58"/>
      <c r="AG434" s="58"/>
      <c r="AH434" s="58"/>
      <c r="AI434" s="58"/>
      <c r="AJ434" s="58"/>
      <c r="AK434" s="58"/>
      <c r="AL434" s="58"/>
      <c r="AM434" s="58"/>
    </row>
    <row r="435" spans="2:39" ht="12.75">
      <c r="B435" s="58"/>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7"/>
      <c r="AB435" s="67"/>
      <c r="AC435" s="58"/>
      <c r="AD435" s="58"/>
      <c r="AE435" s="58"/>
      <c r="AF435" s="58"/>
      <c r="AG435" s="58"/>
      <c r="AH435" s="58"/>
      <c r="AI435" s="58"/>
      <c r="AJ435" s="58"/>
      <c r="AK435" s="58"/>
      <c r="AL435" s="58"/>
      <c r="AM435" s="58"/>
    </row>
    <row r="436" spans="2:39" ht="12.75">
      <c r="B436" s="58"/>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7"/>
      <c r="AB436" s="67"/>
      <c r="AC436" s="58"/>
      <c r="AD436" s="58"/>
      <c r="AE436" s="58"/>
      <c r="AF436" s="58"/>
      <c r="AG436" s="58"/>
      <c r="AH436" s="58"/>
      <c r="AI436" s="58"/>
      <c r="AJ436" s="58"/>
      <c r="AK436" s="58"/>
      <c r="AL436" s="58"/>
      <c r="AM436" s="58"/>
    </row>
    <row r="437" spans="2:39" ht="12.75">
      <c r="B437" s="58"/>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7"/>
      <c r="AB437" s="67"/>
      <c r="AC437" s="58"/>
      <c r="AD437" s="58"/>
      <c r="AE437" s="58"/>
      <c r="AF437" s="58"/>
      <c r="AG437" s="58"/>
      <c r="AH437" s="58"/>
      <c r="AI437" s="58"/>
      <c r="AJ437" s="58"/>
      <c r="AK437" s="58"/>
      <c r="AL437" s="58"/>
      <c r="AM437" s="58"/>
    </row>
    <row r="438" spans="2:39" ht="12.75">
      <c r="B438" s="58"/>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7"/>
      <c r="AB438" s="67"/>
      <c r="AC438" s="58"/>
      <c r="AD438" s="58"/>
      <c r="AE438" s="58"/>
      <c r="AF438" s="58"/>
      <c r="AG438" s="58"/>
      <c r="AH438" s="58"/>
      <c r="AI438" s="58"/>
      <c r="AJ438" s="58"/>
      <c r="AK438" s="58"/>
      <c r="AL438" s="58"/>
      <c r="AM438" s="58"/>
    </row>
    <row r="439" spans="2:39" ht="12.75">
      <c r="B439" s="58"/>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7"/>
      <c r="AB439" s="67"/>
      <c r="AC439" s="58"/>
      <c r="AD439" s="58"/>
      <c r="AE439" s="58"/>
      <c r="AF439" s="58"/>
      <c r="AG439" s="58"/>
      <c r="AH439" s="58"/>
      <c r="AI439" s="58"/>
      <c r="AJ439" s="58"/>
      <c r="AK439" s="58"/>
      <c r="AL439" s="58"/>
      <c r="AM439" s="58"/>
    </row>
    <row r="440" spans="2:39" ht="12.75">
      <c r="B440" s="58"/>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7"/>
      <c r="AB440" s="67"/>
      <c r="AC440" s="58"/>
      <c r="AD440" s="58"/>
      <c r="AE440" s="58"/>
      <c r="AF440" s="58"/>
      <c r="AG440" s="58"/>
      <c r="AH440" s="58"/>
      <c r="AI440" s="58"/>
      <c r="AJ440" s="58"/>
      <c r="AK440" s="58"/>
      <c r="AL440" s="58"/>
      <c r="AM440" s="58"/>
    </row>
    <row r="441" spans="2:39" ht="12.75">
      <c r="B441" s="58"/>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7"/>
      <c r="AB441" s="67"/>
      <c r="AC441" s="58"/>
      <c r="AD441" s="58"/>
      <c r="AE441" s="58"/>
      <c r="AF441" s="58"/>
      <c r="AG441" s="58"/>
      <c r="AH441" s="58"/>
      <c r="AI441" s="58"/>
      <c r="AJ441" s="58"/>
      <c r="AK441" s="58"/>
      <c r="AL441" s="58"/>
      <c r="AM441" s="58"/>
    </row>
    <row r="442" spans="2:39" ht="12.75">
      <c r="B442" s="58"/>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7"/>
      <c r="AB442" s="67"/>
      <c r="AC442" s="58"/>
      <c r="AD442" s="58"/>
      <c r="AE442" s="58"/>
      <c r="AF442" s="58"/>
      <c r="AG442" s="58"/>
      <c r="AH442" s="58"/>
      <c r="AI442" s="58"/>
      <c r="AJ442" s="58"/>
      <c r="AK442" s="58"/>
      <c r="AL442" s="58"/>
      <c r="AM442" s="58"/>
    </row>
    <row r="443" spans="2:39" ht="12.75">
      <c r="B443" s="58"/>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7"/>
      <c r="AB443" s="67"/>
      <c r="AC443" s="58"/>
      <c r="AD443" s="58"/>
      <c r="AE443" s="58"/>
      <c r="AF443" s="58"/>
      <c r="AG443" s="58"/>
      <c r="AH443" s="58"/>
      <c r="AI443" s="58"/>
      <c r="AJ443" s="58"/>
      <c r="AK443" s="58"/>
      <c r="AL443" s="58"/>
      <c r="AM443" s="58"/>
    </row>
    <row r="444" spans="2:39" ht="12.75">
      <c r="B444" s="58"/>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7"/>
      <c r="AB444" s="67"/>
      <c r="AC444" s="58"/>
      <c r="AD444" s="58"/>
      <c r="AE444" s="58"/>
      <c r="AF444" s="58"/>
      <c r="AG444" s="58"/>
      <c r="AH444" s="58"/>
      <c r="AI444" s="58"/>
      <c r="AJ444" s="58"/>
      <c r="AK444" s="58"/>
      <c r="AL444" s="58"/>
      <c r="AM444" s="58"/>
    </row>
    <row r="445" spans="2:39" ht="12.75">
      <c r="B445" s="58"/>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7"/>
      <c r="AB445" s="67"/>
      <c r="AC445" s="58"/>
      <c r="AD445" s="58"/>
      <c r="AE445" s="58"/>
      <c r="AF445" s="58"/>
      <c r="AG445" s="58"/>
      <c r="AH445" s="58"/>
      <c r="AI445" s="58"/>
      <c r="AJ445" s="58"/>
      <c r="AK445" s="58"/>
      <c r="AL445" s="58"/>
      <c r="AM445" s="58"/>
    </row>
    <row r="446" spans="2:39" ht="12.75">
      <c r="B446" s="58"/>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7"/>
      <c r="AB446" s="67"/>
      <c r="AC446" s="58"/>
      <c r="AD446" s="58"/>
      <c r="AE446" s="58"/>
      <c r="AF446" s="58"/>
      <c r="AG446" s="58"/>
      <c r="AH446" s="58"/>
      <c r="AI446" s="58"/>
      <c r="AJ446" s="58"/>
      <c r="AK446" s="58"/>
      <c r="AL446" s="58"/>
      <c r="AM446" s="58"/>
    </row>
    <row r="447" spans="2:39" ht="12.75">
      <c r="B447" s="58"/>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7"/>
      <c r="AB447" s="67"/>
      <c r="AC447" s="58"/>
      <c r="AD447" s="58"/>
      <c r="AE447" s="58"/>
      <c r="AF447" s="58"/>
      <c r="AG447" s="58"/>
      <c r="AH447" s="58"/>
      <c r="AI447" s="58"/>
      <c r="AJ447" s="58"/>
      <c r="AK447" s="58"/>
      <c r="AL447" s="58"/>
      <c r="AM447" s="58"/>
    </row>
    <row r="448" spans="2:39" ht="12.75">
      <c r="B448" s="58"/>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7"/>
      <c r="AB448" s="67"/>
      <c r="AC448" s="58"/>
      <c r="AD448" s="58"/>
      <c r="AE448" s="58"/>
      <c r="AF448" s="58"/>
      <c r="AG448" s="58"/>
      <c r="AH448" s="58"/>
      <c r="AI448" s="58"/>
      <c r="AJ448" s="58"/>
      <c r="AK448" s="58"/>
      <c r="AL448" s="58"/>
      <c r="AM448" s="58"/>
    </row>
    <row r="449" spans="2:39" ht="12.75">
      <c r="B449" s="58"/>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7"/>
      <c r="AB449" s="67"/>
      <c r="AC449" s="58"/>
      <c r="AD449" s="58"/>
      <c r="AE449" s="58"/>
      <c r="AF449" s="58"/>
      <c r="AG449" s="58"/>
      <c r="AH449" s="58"/>
      <c r="AI449" s="58"/>
      <c r="AJ449" s="58"/>
      <c r="AK449" s="58"/>
      <c r="AL449" s="58"/>
      <c r="AM449" s="58"/>
    </row>
    <row r="450" spans="2:39" ht="12.75">
      <c r="B450" s="58"/>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7"/>
      <c r="AB450" s="67"/>
      <c r="AC450" s="58"/>
      <c r="AD450" s="58"/>
      <c r="AE450" s="58"/>
      <c r="AF450" s="58"/>
      <c r="AG450" s="58"/>
      <c r="AH450" s="58"/>
      <c r="AI450" s="58"/>
      <c r="AJ450" s="58"/>
      <c r="AK450" s="58"/>
      <c r="AL450" s="58"/>
      <c r="AM450" s="58"/>
    </row>
    <row r="451" spans="2:39" ht="12.75">
      <c r="B451" s="58"/>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7"/>
      <c r="AB451" s="67"/>
      <c r="AC451" s="58"/>
      <c r="AD451" s="58"/>
      <c r="AE451" s="58"/>
      <c r="AF451" s="58"/>
      <c r="AG451" s="58"/>
      <c r="AH451" s="58"/>
      <c r="AI451" s="58"/>
      <c r="AJ451" s="58"/>
      <c r="AK451" s="58"/>
      <c r="AL451" s="58"/>
      <c r="AM451" s="58"/>
    </row>
    <row r="452" spans="2:39" ht="12.75">
      <c r="B452" s="58"/>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7"/>
      <c r="AB452" s="67"/>
      <c r="AC452" s="58"/>
      <c r="AD452" s="58"/>
      <c r="AE452" s="58"/>
      <c r="AF452" s="58"/>
      <c r="AG452" s="58"/>
      <c r="AH452" s="58"/>
      <c r="AI452" s="58"/>
      <c r="AJ452" s="58"/>
      <c r="AK452" s="58"/>
      <c r="AL452" s="58"/>
      <c r="AM452" s="58"/>
    </row>
    <row r="453" spans="2:39" ht="12.75">
      <c r="B453" s="58"/>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7"/>
      <c r="AB453" s="67"/>
      <c r="AC453" s="58"/>
      <c r="AD453" s="58"/>
      <c r="AE453" s="58"/>
      <c r="AF453" s="58"/>
      <c r="AG453" s="58"/>
      <c r="AH453" s="58"/>
      <c r="AI453" s="58"/>
      <c r="AJ453" s="58"/>
      <c r="AK453" s="58"/>
      <c r="AL453" s="58"/>
      <c r="AM453" s="58"/>
    </row>
    <row r="454" spans="2:39" ht="12.75">
      <c r="B454" s="58"/>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7"/>
      <c r="AB454" s="67"/>
      <c r="AC454" s="58"/>
      <c r="AD454" s="58"/>
      <c r="AE454" s="58"/>
      <c r="AF454" s="58"/>
      <c r="AG454" s="58"/>
      <c r="AH454" s="58"/>
      <c r="AI454" s="58"/>
      <c r="AJ454" s="58"/>
      <c r="AK454" s="58"/>
      <c r="AL454" s="58"/>
      <c r="AM454" s="58"/>
    </row>
    <row r="455" spans="2:39" ht="12.75">
      <c r="B455" s="58"/>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7"/>
      <c r="AB455" s="67"/>
      <c r="AC455" s="58"/>
      <c r="AD455" s="58"/>
      <c r="AE455" s="58"/>
      <c r="AF455" s="58"/>
      <c r="AG455" s="58"/>
      <c r="AH455" s="58"/>
      <c r="AI455" s="58"/>
      <c r="AJ455" s="58"/>
      <c r="AK455" s="58"/>
      <c r="AL455" s="58"/>
      <c r="AM455" s="58"/>
    </row>
    <row r="456" spans="2:39" ht="12.75">
      <c r="B456" s="58"/>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7"/>
      <c r="AB456" s="67"/>
      <c r="AC456" s="58"/>
      <c r="AD456" s="58"/>
      <c r="AE456" s="58"/>
      <c r="AF456" s="58"/>
      <c r="AG456" s="58"/>
      <c r="AH456" s="58"/>
      <c r="AI456" s="58"/>
      <c r="AJ456" s="58"/>
      <c r="AK456" s="58"/>
      <c r="AL456" s="58"/>
      <c r="AM456" s="58"/>
    </row>
    <row r="457" spans="2:39" ht="12.75">
      <c r="B457" s="58"/>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7"/>
      <c r="AB457" s="67"/>
      <c r="AC457" s="58"/>
      <c r="AD457" s="58"/>
      <c r="AE457" s="58"/>
      <c r="AF457" s="58"/>
      <c r="AG457" s="58"/>
      <c r="AH457" s="58"/>
      <c r="AI457" s="58"/>
      <c r="AJ457" s="58"/>
      <c r="AK457" s="58"/>
      <c r="AL457" s="58"/>
      <c r="AM457" s="58"/>
    </row>
    <row r="458" spans="2:39" ht="12.75">
      <c r="B458" s="58"/>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7"/>
      <c r="AB458" s="67"/>
      <c r="AC458" s="58"/>
      <c r="AD458" s="58"/>
      <c r="AE458" s="58"/>
      <c r="AF458" s="58"/>
      <c r="AG458" s="58"/>
      <c r="AH458" s="58"/>
      <c r="AI458" s="58"/>
      <c r="AJ458" s="58"/>
      <c r="AK458" s="58"/>
      <c r="AL458" s="58"/>
      <c r="AM458" s="58"/>
    </row>
    <row r="459" spans="2:39" ht="12.75">
      <c r="B459" s="58"/>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7"/>
      <c r="AB459" s="67"/>
      <c r="AC459" s="58"/>
      <c r="AD459" s="58"/>
      <c r="AE459" s="58"/>
      <c r="AF459" s="58"/>
      <c r="AG459" s="58"/>
      <c r="AH459" s="58"/>
      <c r="AI459" s="58"/>
      <c r="AJ459" s="58"/>
      <c r="AK459" s="58"/>
      <c r="AL459" s="58"/>
      <c r="AM459" s="58"/>
    </row>
    <row r="460" spans="2:39" ht="12.75">
      <c r="B460" s="58"/>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7"/>
      <c r="AB460" s="67"/>
      <c r="AC460" s="58"/>
      <c r="AD460" s="58"/>
      <c r="AE460" s="58"/>
      <c r="AF460" s="58"/>
      <c r="AG460" s="58"/>
      <c r="AH460" s="58"/>
      <c r="AI460" s="58"/>
      <c r="AJ460" s="58"/>
      <c r="AK460" s="58"/>
      <c r="AL460" s="58"/>
      <c r="AM460" s="58"/>
    </row>
    <row r="461" spans="2:39" ht="12.75">
      <c r="B461" s="58"/>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7"/>
      <c r="AB461" s="67"/>
      <c r="AC461" s="58"/>
      <c r="AD461" s="58"/>
      <c r="AE461" s="58"/>
      <c r="AF461" s="58"/>
      <c r="AG461" s="58"/>
      <c r="AH461" s="58"/>
      <c r="AI461" s="58"/>
      <c r="AJ461" s="58"/>
      <c r="AK461" s="58"/>
      <c r="AL461" s="58"/>
      <c r="AM461" s="58"/>
    </row>
    <row r="462" spans="2:39" ht="12.75">
      <c r="B462" s="58"/>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7"/>
      <c r="AB462" s="67"/>
      <c r="AC462" s="58"/>
      <c r="AD462" s="58"/>
      <c r="AE462" s="58"/>
      <c r="AF462" s="58"/>
      <c r="AG462" s="58"/>
      <c r="AH462" s="58"/>
      <c r="AI462" s="58"/>
      <c r="AJ462" s="58"/>
      <c r="AK462" s="58"/>
      <c r="AL462" s="58"/>
      <c r="AM462" s="58"/>
    </row>
    <row r="463" spans="2:39" ht="12.75">
      <c r="B463" s="58"/>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7"/>
      <c r="AB463" s="67"/>
      <c r="AC463" s="58"/>
      <c r="AD463" s="58"/>
      <c r="AE463" s="58"/>
      <c r="AF463" s="58"/>
      <c r="AG463" s="58"/>
      <c r="AH463" s="58"/>
      <c r="AI463" s="58"/>
      <c r="AJ463" s="58"/>
      <c r="AK463" s="58"/>
      <c r="AL463" s="58"/>
      <c r="AM463" s="58"/>
    </row>
    <row r="464" spans="2:39" ht="12.75">
      <c r="B464" s="58"/>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7"/>
      <c r="AB464" s="67"/>
      <c r="AC464" s="58"/>
      <c r="AD464" s="58"/>
      <c r="AE464" s="58"/>
      <c r="AF464" s="58"/>
      <c r="AG464" s="58"/>
      <c r="AH464" s="58"/>
      <c r="AI464" s="58"/>
      <c r="AJ464" s="58"/>
      <c r="AK464" s="58"/>
      <c r="AL464" s="58"/>
      <c r="AM464" s="58"/>
    </row>
    <row r="465" spans="2:39" ht="12.75">
      <c r="B465" s="58"/>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7"/>
      <c r="AB465" s="67"/>
      <c r="AC465" s="58"/>
      <c r="AD465" s="58"/>
      <c r="AE465" s="58"/>
      <c r="AF465" s="58"/>
      <c r="AG465" s="58"/>
      <c r="AH465" s="58"/>
      <c r="AI465" s="58"/>
      <c r="AJ465" s="58"/>
      <c r="AK465" s="58"/>
      <c r="AL465" s="58"/>
      <c r="AM465" s="58"/>
    </row>
    <row r="466" spans="2:39" ht="12.75">
      <c r="B466" s="58"/>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7"/>
      <c r="AB466" s="67"/>
      <c r="AC466" s="58"/>
      <c r="AD466" s="58"/>
      <c r="AE466" s="58"/>
      <c r="AF466" s="58"/>
      <c r="AG466" s="58"/>
      <c r="AH466" s="58"/>
      <c r="AI466" s="58"/>
      <c r="AJ466" s="58"/>
      <c r="AK466" s="58"/>
      <c r="AL466" s="58"/>
      <c r="AM466" s="58"/>
    </row>
    <row r="467" spans="2:39" ht="12.75">
      <c r="B467" s="58"/>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7"/>
      <c r="AB467" s="67"/>
      <c r="AC467" s="58"/>
      <c r="AD467" s="58"/>
      <c r="AE467" s="58"/>
      <c r="AF467" s="58"/>
      <c r="AG467" s="58"/>
      <c r="AH467" s="58"/>
      <c r="AI467" s="58"/>
      <c r="AJ467" s="58"/>
      <c r="AK467" s="58"/>
      <c r="AL467" s="58"/>
      <c r="AM467" s="58"/>
    </row>
    <row r="468" spans="2:39" ht="12.75">
      <c r="B468" s="58"/>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7"/>
      <c r="AB468" s="67"/>
      <c r="AC468" s="58"/>
      <c r="AD468" s="58"/>
      <c r="AE468" s="58"/>
      <c r="AF468" s="58"/>
      <c r="AG468" s="58"/>
      <c r="AH468" s="58"/>
      <c r="AI468" s="58"/>
      <c r="AJ468" s="58"/>
      <c r="AK468" s="58"/>
      <c r="AL468" s="58"/>
      <c r="AM468" s="58"/>
    </row>
    <row r="469" spans="2:39" ht="12.75">
      <c r="B469" s="58"/>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7"/>
      <c r="AB469" s="67"/>
      <c r="AC469" s="58"/>
      <c r="AD469" s="58"/>
      <c r="AE469" s="58"/>
      <c r="AF469" s="58"/>
      <c r="AG469" s="58"/>
      <c r="AH469" s="58"/>
      <c r="AI469" s="58"/>
      <c r="AJ469" s="58"/>
      <c r="AK469" s="58"/>
      <c r="AL469" s="58"/>
      <c r="AM469" s="58"/>
    </row>
    <row r="470" spans="2:39" ht="12.75">
      <c r="B470" s="58"/>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7"/>
      <c r="AB470" s="67"/>
      <c r="AC470" s="58"/>
      <c r="AD470" s="58"/>
      <c r="AE470" s="58"/>
      <c r="AF470" s="58"/>
      <c r="AG470" s="58"/>
      <c r="AH470" s="58"/>
      <c r="AI470" s="58"/>
      <c r="AJ470" s="58"/>
      <c r="AK470" s="58"/>
      <c r="AL470" s="58"/>
      <c r="AM470" s="58"/>
    </row>
    <row r="471" spans="2:39" ht="12.75">
      <c r="B471" s="58"/>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7"/>
      <c r="AB471" s="67"/>
      <c r="AC471" s="58"/>
      <c r="AD471" s="58"/>
      <c r="AE471" s="58"/>
      <c r="AF471" s="58"/>
      <c r="AG471" s="58"/>
      <c r="AH471" s="58"/>
      <c r="AI471" s="58"/>
      <c r="AJ471" s="58"/>
      <c r="AK471" s="58"/>
      <c r="AL471" s="58"/>
      <c r="AM471" s="58"/>
    </row>
    <row r="472" spans="2:39" ht="12.75">
      <c r="B472" s="58"/>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7"/>
      <c r="AB472" s="67"/>
      <c r="AC472" s="58"/>
      <c r="AD472" s="58"/>
      <c r="AE472" s="58"/>
      <c r="AF472" s="58"/>
      <c r="AG472" s="58"/>
      <c r="AH472" s="58"/>
      <c r="AI472" s="58"/>
      <c r="AJ472" s="58"/>
      <c r="AK472" s="58"/>
      <c r="AL472" s="58"/>
      <c r="AM472" s="58"/>
    </row>
    <row r="473" spans="2:39" ht="12.75">
      <c r="B473" s="58"/>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7"/>
      <c r="AB473" s="67"/>
      <c r="AC473" s="58"/>
      <c r="AD473" s="58"/>
      <c r="AE473" s="58"/>
      <c r="AF473" s="58"/>
      <c r="AG473" s="58"/>
      <c r="AH473" s="58"/>
      <c r="AI473" s="58"/>
      <c r="AJ473" s="58"/>
      <c r="AK473" s="58"/>
      <c r="AL473" s="58"/>
      <c r="AM473" s="58"/>
    </row>
    <row r="474" spans="2:39" ht="12.75">
      <c r="B474" s="58"/>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7"/>
      <c r="AB474" s="67"/>
      <c r="AC474" s="58"/>
      <c r="AD474" s="58"/>
      <c r="AE474" s="58"/>
      <c r="AF474" s="58"/>
      <c r="AG474" s="58"/>
      <c r="AH474" s="58"/>
      <c r="AI474" s="58"/>
      <c r="AJ474" s="58"/>
      <c r="AK474" s="58"/>
      <c r="AL474" s="58"/>
      <c r="AM474" s="58"/>
    </row>
    <row r="475" spans="2:39" ht="12.75">
      <c r="B475" s="58"/>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7"/>
      <c r="AB475" s="67"/>
      <c r="AC475" s="58"/>
      <c r="AD475" s="58"/>
      <c r="AE475" s="58"/>
      <c r="AF475" s="58"/>
      <c r="AG475" s="58"/>
      <c r="AH475" s="58"/>
      <c r="AI475" s="58"/>
      <c r="AJ475" s="58"/>
      <c r="AK475" s="58"/>
      <c r="AL475" s="58"/>
      <c r="AM475" s="58"/>
    </row>
    <row r="476" spans="2:39" ht="12.75">
      <c r="B476" s="58"/>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7"/>
      <c r="AB476" s="67"/>
      <c r="AC476" s="58"/>
      <c r="AD476" s="58"/>
      <c r="AE476" s="58"/>
      <c r="AF476" s="58"/>
      <c r="AG476" s="58"/>
      <c r="AH476" s="58"/>
      <c r="AI476" s="58"/>
      <c r="AJ476" s="58"/>
      <c r="AK476" s="58"/>
      <c r="AL476" s="58"/>
      <c r="AM476" s="58"/>
    </row>
    <row r="477" spans="2:39" ht="12.75">
      <c r="B477" s="58"/>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7"/>
      <c r="AB477" s="67"/>
      <c r="AC477" s="58"/>
      <c r="AD477" s="58"/>
      <c r="AE477" s="58"/>
      <c r="AF477" s="58"/>
      <c r="AG477" s="58"/>
      <c r="AH477" s="58"/>
      <c r="AI477" s="58"/>
      <c r="AJ477" s="58"/>
      <c r="AK477" s="58"/>
      <c r="AL477" s="58"/>
      <c r="AM477" s="58"/>
    </row>
    <row r="478" spans="2:39" ht="12.75">
      <c r="B478" s="58"/>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7"/>
      <c r="AB478" s="67"/>
      <c r="AC478" s="58"/>
      <c r="AD478" s="58"/>
      <c r="AE478" s="58"/>
      <c r="AF478" s="58"/>
      <c r="AG478" s="58"/>
      <c r="AH478" s="58"/>
      <c r="AI478" s="58"/>
      <c r="AJ478" s="58"/>
      <c r="AK478" s="58"/>
      <c r="AL478" s="58"/>
      <c r="AM478" s="58"/>
    </row>
    <row r="479" spans="2:39" ht="12.75">
      <c r="B479" s="58"/>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7"/>
      <c r="AB479" s="67"/>
      <c r="AC479" s="58"/>
      <c r="AD479" s="58"/>
      <c r="AE479" s="58"/>
      <c r="AF479" s="58"/>
      <c r="AG479" s="58"/>
      <c r="AH479" s="58"/>
      <c r="AI479" s="58"/>
      <c r="AJ479" s="58"/>
      <c r="AK479" s="58"/>
      <c r="AL479" s="58"/>
      <c r="AM479" s="58"/>
    </row>
    <row r="480" spans="2:39" ht="12.75">
      <c r="B480" s="58"/>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7"/>
      <c r="AB480" s="67"/>
      <c r="AC480" s="58"/>
      <c r="AD480" s="58"/>
      <c r="AE480" s="58"/>
      <c r="AF480" s="58"/>
      <c r="AG480" s="58"/>
      <c r="AH480" s="58"/>
      <c r="AI480" s="58"/>
      <c r="AJ480" s="58"/>
      <c r="AK480" s="58"/>
      <c r="AL480" s="58"/>
      <c r="AM480" s="58"/>
    </row>
    <row r="481" spans="2:39" ht="12.75">
      <c r="B481" s="58"/>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7"/>
      <c r="AB481" s="67"/>
      <c r="AC481" s="58"/>
      <c r="AD481" s="58"/>
      <c r="AE481" s="58"/>
      <c r="AF481" s="58"/>
      <c r="AG481" s="58"/>
      <c r="AH481" s="58"/>
      <c r="AI481" s="58"/>
      <c r="AJ481" s="58"/>
      <c r="AK481" s="58"/>
      <c r="AL481" s="58"/>
      <c r="AM481" s="58"/>
    </row>
    <row r="482" spans="2:39" ht="12.75">
      <c r="B482" s="58"/>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7"/>
      <c r="AB482" s="67"/>
      <c r="AC482" s="58"/>
      <c r="AD482" s="58"/>
      <c r="AE482" s="58"/>
      <c r="AF482" s="58"/>
      <c r="AG482" s="58"/>
      <c r="AH482" s="58"/>
      <c r="AI482" s="58"/>
      <c r="AJ482" s="58"/>
      <c r="AK482" s="58"/>
      <c r="AL482" s="58"/>
      <c r="AM482" s="58"/>
    </row>
    <row r="483" spans="2:39" ht="12.75">
      <c r="B483" s="58"/>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7"/>
      <c r="AB483" s="67"/>
      <c r="AC483" s="58"/>
      <c r="AD483" s="58"/>
      <c r="AE483" s="58"/>
      <c r="AF483" s="58"/>
      <c r="AG483" s="58"/>
      <c r="AH483" s="58"/>
      <c r="AI483" s="58"/>
      <c r="AJ483" s="58"/>
      <c r="AK483" s="58"/>
      <c r="AL483" s="58"/>
      <c r="AM483" s="58"/>
    </row>
    <row r="484" spans="2:39" ht="12.75">
      <c r="B484" s="58"/>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7"/>
      <c r="AB484" s="67"/>
      <c r="AC484" s="58"/>
      <c r="AD484" s="58"/>
      <c r="AE484" s="58"/>
      <c r="AF484" s="58"/>
      <c r="AG484" s="58"/>
      <c r="AH484" s="58"/>
      <c r="AI484" s="58"/>
      <c r="AJ484" s="58"/>
      <c r="AK484" s="58"/>
      <c r="AL484" s="58"/>
      <c r="AM484" s="58"/>
    </row>
    <row r="485" spans="2:39" ht="12.75">
      <c r="B485" s="58"/>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7"/>
      <c r="AB485" s="67"/>
      <c r="AC485" s="58"/>
      <c r="AD485" s="58"/>
      <c r="AE485" s="58"/>
      <c r="AF485" s="58"/>
      <c r="AG485" s="58"/>
      <c r="AH485" s="58"/>
      <c r="AI485" s="58"/>
      <c r="AJ485" s="58"/>
      <c r="AK485" s="58"/>
      <c r="AL485" s="58"/>
      <c r="AM485" s="58"/>
    </row>
    <row r="486" spans="2:39" ht="12.75">
      <c r="B486" s="58"/>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7"/>
      <c r="AB486" s="67"/>
      <c r="AC486" s="58"/>
      <c r="AD486" s="58"/>
      <c r="AE486" s="58"/>
      <c r="AF486" s="58"/>
      <c r="AG486" s="58"/>
      <c r="AH486" s="58"/>
      <c r="AI486" s="58"/>
      <c r="AJ486" s="58"/>
      <c r="AK486" s="58"/>
      <c r="AL486" s="58"/>
      <c r="AM486" s="58"/>
    </row>
    <row r="487" spans="2:39" ht="12.75">
      <c r="B487" s="58"/>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7"/>
      <c r="AB487" s="67"/>
      <c r="AC487" s="58"/>
      <c r="AD487" s="58"/>
      <c r="AE487" s="58"/>
      <c r="AF487" s="58"/>
      <c r="AG487" s="58"/>
      <c r="AH487" s="58"/>
      <c r="AI487" s="58"/>
      <c r="AJ487" s="58"/>
      <c r="AK487" s="58"/>
      <c r="AL487" s="58"/>
      <c r="AM487" s="58"/>
    </row>
    <row r="488" spans="2:39" ht="12.75">
      <c r="B488" s="58"/>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7"/>
      <c r="AB488" s="67"/>
      <c r="AC488" s="58"/>
      <c r="AD488" s="58"/>
      <c r="AE488" s="58"/>
      <c r="AF488" s="58"/>
      <c r="AG488" s="58"/>
      <c r="AH488" s="58"/>
      <c r="AI488" s="58"/>
      <c r="AJ488" s="58"/>
      <c r="AK488" s="58"/>
      <c r="AL488" s="58"/>
      <c r="AM488" s="58"/>
    </row>
    <row r="489" spans="2:39" ht="12.75">
      <c r="B489" s="58"/>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7"/>
      <c r="AB489" s="67"/>
      <c r="AC489" s="58"/>
      <c r="AD489" s="58"/>
      <c r="AE489" s="58"/>
      <c r="AF489" s="58"/>
      <c r="AG489" s="58"/>
      <c r="AH489" s="58"/>
      <c r="AI489" s="58"/>
      <c r="AJ489" s="58"/>
      <c r="AK489" s="58"/>
      <c r="AL489" s="58"/>
      <c r="AM489" s="58"/>
    </row>
    <row r="490" spans="2:39" ht="12.75">
      <c r="B490" s="58"/>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7"/>
      <c r="AB490" s="67"/>
      <c r="AC490" s="58"/>
      <c r="AD490" s="58"/>
      <c r="AE490" s="58"/>
      <c r="AF490" s="58"/>
      <c r="AG490" s="58"/>
      <c r="AH490" s="58"/>
      <c r="AI490" s="58"/>
      <c r="AJ490" s="58"/>
      <c r="AK490" s="58"/>
      <c r="AL490" s="58"/>
      <c r="AM490" s="58"/>
    </row>
    <row r="491" spans="2:39" ht="12.75">
      <c r="B491" s="58"/>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7"/>
      <c r="AB491" s="67"/>
      <c r="AC491" s="58"/>
      <c r="AD491" s="58"/>
      <c r="AE491" s="58"/>
      <c r="AF491" s="58"/>
      <c r="AG491" s="58"/>
      <c r="AH491" s="58"/>
      <c r="AI491" s="58"/>
      <c r="AJ491" s="58"/>
      <c r="AK491" s="58"/>
      <c r="AL491" s="58"/>
      <c r="AM491" s="58"/>
    </row>
    <row r="492" spans="2:39" ht="12.75">
      <c r="B492" s="58"/>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7"/>
      <c r="AB492" s="67"/>
      <c r="AC492" s="58"/>
      <c r="AD492" s="58"/>
      <c r="AE492" s="58"/>
      <c r="AF492" s="58"/>
      <c r="AG492" s="58"/>
      <c r="AH492" s="58"/>
      <c r="AI492" s="58"/>
      <c r="AJ492" s="58"/>
      <c r="AK492" s="58"/>
      <c r="AL492" s="58"/>
      <c r="AM492" s="58"/>
    </row>
    <row r="493" spans="2:39" ht="12.75">
      <c r="B493" s="58"/>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7"/>
      <c r="AB493" s="67"/>
      <c r="AC493" s="58"/>
      <c r="AD493" s="58"/>
      <c r="AE493" s="58"/>
      <c r="AF493" s="58"/>
      <c r="AG493" s="58"/>
      <c r="AH493" s="58"/>
      <c r="AI493" s="58"/>
      <c r="AJ493" s="58"/>
      <c r="AK493" s="58"/>
      <c r="AL493" s="58"/>
      <c r="AM493" s="58"/>
    </row>
    <row r="494" spans="2:39" ht="12.75">
      <c r="B494" s="58"/>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7"/>
      <c r="AB494" s="67"/>
      <c r="AC494" s="58"/>
      <c r="AD494" s="58"/>
      <c r="AE494" s="58"/>
      <c r="AF494" s="58"/>
      <c r="AG494" s="58"/>
      <c r="AH494" s="58"/>
      <c r="AI494" s="58"/>
      <c r="AJ494" s="58"/>
      <c r="AK494" s="58"/>
      <c r="AL494" s="58"/>
      <c r="AM494" s="58"/>
    </row>
    <row r="495" spans="2:39" ht="12.75">
      <c r="B495" s="58"/>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7"/>
      <c r="AB495" s="67"/>
      <c r="AC495" s="58"/>
      <c r="AD495" s="58"/>
      <c r="AE495" s="58"/>
      <c r="AF495" s="58"/>
      <c r="AG495" s="58"/>
      <c r="AH495" s="58"/>
      <c r="AI495" s="58"/>
      <c r="AJ495" s="58"/>
      <c r="AK495" s="58"/>
      <c r="AL495" s="58"/>
      <c r="AM495" s="58"/>
    </row>
    <row r="496" spans="2:39" ht="12.75">
      <c r="B496" s="58"/>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7"/>
      <c r="AB496" s="67"/>
      <c r="AC496" s="58"/>
      <c r="AD496" s="58"/>
      <c r="AE496" s="58"/>
      <c r="AF496" s="58"/>
      <c r="AG496" s="58"/>
      <c r="AH496" s="58"/>
      <c r="AI496" s="58"/>
      <c r="AJ496" s="58"/>
      <c r="AK496" s="58"/>
      <c r="AL496" s="58"/>
      <c r="AM496" s="58"/>
    </row>
    <row r="497" spans="2:39" ht="12.75">
      <c r="B497" s="58"/>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7"/>
      <c r="AB497" s="67"/>
      <c r="AC497" s="58"/>
      <c r="AD497" s="58"/>
      <c r="AE497" s="58"/>
      <c r="AF497" s="58"/>
      <c r="AG497" s="58"/>
      <c r="AH497" s="58"/>
      <c r="AI497" s="58"/>
      <c r="AJ497" s="58"/>
      <c r="AK497" s="58"/>
      <c r="AL497" s="58"/>
      <c r="AM497" s="58"/>
    </row>
    <row r="498" spans="2:39" ht="12.75">
      <c r="B498" s="58"/>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7"/>
      <c r="AB498" s="67"/>
      <c r="AC498" s="58"/>
      <c r="AD498" s="58"/>
      <c r="AE498" s="58"/>
      <c r="AF498" s="58"/>
      <c r="AG498" s="58"/>
      <c r="AH498" s="58"/>
      <c r="AI498" s="58"/>
      <c r="AJ498" s="58"/>
      <c r="AK498" s="58"/>
      <c r="AL498" s="58"/>
      <c r="AM498" s="58"/>
    </row>
    <row r="499" spans="2:39" ht="12.75">
      <c r="B499" s="58"/>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7"/>
      <c r="AB499" s="67"/>
      <c r="AC499" s="58"/>
      <c r="AD499" s="58"/>
      <c r="AE499" s="58"/>
      <c r="AF499" s="58"/>
      <c r="AG499" s="58"/>
      <c r="AH499" s="58"/>
      <c r="AI499" s="58"/>
      <c r="AJ499" s="58"/>
      <c r="AK499" s="58"/>
      <c r="AL499" s="58"/>
      <c r="AM499" s="58"/>
    </row>
    <row r="500" spans="2:39" ht="12.75">
      <c r="B500" s="58"/>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7"/>
      <c r="AB500" s="67"/>
      <c r="AC500" s="58"/>
      <c r="AD500" s="58"/>
      <c r="AE500" s="58"/>
      <c r="AF500" s="58"/>
      <c r="AG500" s="58"/>
      <c r="AH500" s="58"/>
      <c r="AI500" s="58"/>
      <c r="AJ500" s="58"/>
      <c r="AK500" s="58"/>
      <c r="AL500" s="58"/>
      <c r="AM500" s="58"/>
    </row>
    <row r="501" spans="2:39" ht="12.75">
      <c r="B501" s="58"/>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7"/>
      <c r="AB501" s="67"/>
      <c r="AC501" s="58"/>
      <c r="AD501" s="58"/>
      <c r="AE501" s="58"/>
      <c r="AF501" s="58"/>
      <c r="AG501" s="58"/>
      <c r="AH501" s="58"/>
      <c r="AI501" s="58"/>
      <c r="AJ501" s="58"/>
      <c r="AK501" s="58"/>
      <c r="AL501" s="58"/>
      <c r="AM501" s="58"/>
    </row>
    <row r="502" spans="2:39" ht="12.75">
      <c r="B502" s="58"/>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7"/>
      <c r="AB502" s="67"/>
      <c r="AC502" s="58"/>
      <c r="AD502" s="58"/>
      <c r="AE502" s="58"/>
      <c r="AF502" s="58"/>
      <c r="AG502" s="58"/>
      <c r="AH502" s="58"/>
      <c r="AI502" s="58"/>
      <c r="AJ502" s="58"/>
      <c r="AK502" s="58"/>
      <c r="AL502" s="58"/>
      <c r="AM502" s="58"/>
    </row>
    <row r="503" spans="2:39" ht="12.75">
      <c r="B503" s="58"/>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7"/>
      <c r="AB503" s="67"/>
      <c r="AC503" s="58"/>
      <c r="AD503" s="58"/>
      <c r="AE503" s="58"/>
      <c r="AF503" s="58"/>
      <c r="AG503" s="58"/>
      <c r="AH503" s="58"/>
      <c r="AI503" s="58"/>
      <c r="AJ503" s="58"/>
      <c r="AK503" s="58"/>
      <c r="AL503" s="58"/>
      <c r="AM503" s="58"/>
    </row>
    <row r="504" spans="2:39" ht="12.75">
      <c r="B504" s="58"/>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7"/>
      <c r="AB504" s="67"/>
      <c r="AC504" s="58"/>
      <c r="AD504" s="58"/>
      <c r="AE504" s="58"/>
      <c r="AF504" s="58"/>
      <c r="AG504" s="58"/>
      <c r="AH504" s="58"/>
      <c r="AI504" s="58"/>
      <c r="AJ504" s="58"/>
      <c r="AK504" s="58"/>
      <c r="AL504" s="58"/>
      <c r="AM504" s="58"/>
    </row>
    <row r="505" spans="2:39" ht="12.75">
      <c r="B505" s="58"/>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7"/>
      <c r="AB505" s="67"/>
      <c r="AC505" s="58"/>
      <c r="AD505" s="58"/>
      <c r="AE505" s="58"/>
      <c r="AF505" s="58"/>
      <c r="AG505" s="58"/>
      <c r="AH505" s="58"/>
      <c r="AI505" s="58"/>
      <c r="AJ505" s="58"/>
      <c r="AK505" s="58"/>
      <c r="AL505" s="58"/>
      <c r="AM505" s="58"/>
    </row>
    <row r="506" spans="2:39" ht="12.75">
      <c r="B506" s="58"/>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7"/>
      <c r="AB506" s="67"/>
      <c r="AC506" s="58"/>
      <c r="AD506" s="58"/>
      <c r="AE506" s="58"/>
      <c r="AF506" s="58"/>
      <c r="AG506" s="58"/>
      <c r="AH506" s="58"/>
      <c r="AI506" s="58"/>
      <c r="AJ506" s="58"/>
      <c r="AK506" s="58"/>
      <c r="AL506" s="58"/>
      <c r="AM506" s="58"/>
    </row>
    <row r="507" spans="2:39" ht="12.75">
      <c r="B507" s="58"/>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7"/>
      <c r="AB507" s="67"/>
      <c r="AC507" s="58"/>
      <c r="AD507" s="58"/>
      <c r="AE507" s="58"/>
      <c r="AF507" s="58"/>
      <c r="AG507" s="58"/>
      <c r="AH507" s="58"/>
      <c r="AI507" s="58"/>
      <c r="AJ507" s="58"/>
      <c r="AK507" s="58"/>
      <c r="AL507" s="58"/>
      <c r="AM507" s="58"/>
    </row>
    <row r="508" spans="2:39" ht="12.75">
      <c r="B508" s="58"/>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7"/>
      <c r="AB508" s="67"/>
      <c r="AC508" s="58"/>
      <c r="AD508" s="58"/>
      <c r="AE508" s="58"/>
      <c r="AF508" s="58"/>
      <c r="AG508" s="58"/>
      <c r="AH508" s="58"/>
      <c r="AI508" s="58"/>
      <c r="AJ508" s="58"/>
      <c r="AK508" s="58"/>
      <c r="AL508" s="58"/>
      <c r="AM508" s="58"/>
    </row>
    <row r="509" spans="2:39" ht="12.75">
      <c r="B509" s="58"/>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7"/>
      <c r="AB509" s="67"/>
      <c r="AC509" s="58"/>
      <c r="AD509" s="58"/>
      <c r="AE509" s="58"/>
      <c r="AF509" s="58"/>
      <c r="AG509" s="58"/>
      <c r="AH509" s="58"/>
      <c r="AI509" s="58"/>
      <c r="AJ509" s="58"/>
      <c r="AK509" s="58"/>
      <c r="AL509" s="58"/>
      <c r="AM509" s="58"/>
    </row>
    <row r="510" spans="2:39" ht="12.75">
      <c r="B510" s="58"/>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7"/>
      <c r="AB510" s="67"/>
      <c r="AC510" s="58"/>
      <c r="AD510" s="58"/>
      <c r="AE510" s="58"/>
      <c r="AF510" s="58"/>
      <c r="AG510" s="58"/>
      <c r="AH510" s="58"/>
      <c r="AI510" s="58"/>
      <c r="AJ510" s="58"/>
      <c r="AK510" s="58"/>
      <c r="AL510" s="58"/>
      <c r="AM510" s="58"/>
    </row>
    <row r="511" spans="2:39" ht="12.75">
      <c r="B511" s="58"/>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7"/>
      <c r="AB511" s="67"/>
      <c r="AC511" s="58"/>
      <c r="AD511" s="58"/>
      <c r="AE511" s="58"/>
      <c r="AF511" s="58"/>
      <c r="AG511" s="58"/>
      <c r="AH511" s="58"/>
      <c r="AI511" s="58"/>
      <c r="AJ511" s="58"/>
      <c r="AK511" s="58"/>
      <c r="AL511" s="58"/>
      <c r="AM511" s="58"/>
    </row>
    <row r="512" spans="2:39" ht="12.75">
      <c r="B512" s="58"/>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7"/>
      <c r="AB512" s="67"/>
      <c r="AC512" s="58"/>
      <c r="AD512" s="58"/>
      <c r="AE512" s="58"/>
      <c r="AF512" s="58"/>
      <c r="AG512" s="58"/>
      <c r="AH512" s="58"/>
      <c r="AI512" s="58"/>
      <c r="AJ512" s="58"/>
      <c r="AK512" s="58"/>
      <c r="AL512" s="58"/>
      <c r="AM512" s="58"/>
    </row>
    <row r="513" spans="2:39" ht="12.75">
      <c r="B513" s="58"/>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7"/>
      <c r="AB513" s="67"/>
      <c r="AC513" s="58"/>
      <c r="AD513" s="58"/>
      <c r="AE513" s="58"/>
      <c r="AF513" s="58"/>
      <c r="AG513" s="58"/>
      <c r="AH513" s="58"/>
      <c r="AI513" s="58"/>
      <c r="AJ513" s="58"/>
      <c r="AK513" s="58"/>
      <c r="AL513" s="58"/>
      <c r="AM513" s="58"/>
    </row>
    <row r="514" spans="2:39" ht="12.75">
      <c r="B514" s="58"/>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7"/>
      <c r="AB514" s="67"/>
      <c r="AC514" s="58"/>
      <c r="AD514" s="58"/>
      <c r="AE514" s="58"/>
      <c r="AF514" s="58"/>
      <c r="AG514" s="58"/>
      <c r="AH514" s="58"/>
      <c r="AI514" s="58"/>
      <c r="AJ514" s="58"/>
      <c r="AK514" s="58"/>
      <c r="AL514" s="58"/>
      <c r="AM514" s="58"/>
    </row>
    <row r="515" spans="2:39" ht="12.75">
      <c r="B515" s="58"/>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7"/>
      <c r="AB515" s="67"/>
      <c r="AC515" s="58"/>
      <c r="AD515" s="58"/>
      <c r="AE515" s="58"/>
      <c r="AF515" s="58"/>
      <c r="AG515" s="58"/>
      <c r="AH515" s="58"/>
      <c r="AI515" s="58"/>
      <c r="AJ515" s="58"/>
      <c r="AK515" s="58"/>
      <c r="AL515" s="58"/>
      <c r="AM515" s="58"/>
    </row>
    <row r="516" spans="2:39" ht="12.75">
      <c r="B516" s="58"/>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7"/>
      <c r="AB516" s="67"/>
      <c r="AC516" s="58"/>
      <c r="AD516" s="58"/>
      <c r="AE516" s="58"/>
      <c r="AF516" s="58"/>
      <c r="AG516" s="58"/>
      <c r="AH516" s="58"/>
      <c r="AI516" s="58"/>
      <c r="AJ516" s="58"/>
      <c r="AK516" s="58"/>
      <c r="AL516" s="58"/>
      <c r="AM516" s="58"/>
    </row>
    <row r="517" spans="2:39" ht="12.75">
      <c r="B517" s="58"/>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7"/>
      <c r="AB517" s="67"/>
      <c r="AC517" s="58"/>
      <c r="AD517" s="58"/>
      <c r="AE517" s="58"/>
      <c r="AF517" s="58"/>
      <c r="AG517" s="58"/>
      <c r="AH517" s="58"/>
      <c r="AI517" s="58"/>
      <c r="AJ517" s="58"/>
      <c r="AK517" s="58"/>
      <c r="AL517" s="58"/>
      <c r="AM517" s="58"/>
    </row>
    <row r="518" spans="2:39" ht="12.75">
      <c r="B518" s="58"/>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7"/>
      <c r="AB518" s="67"/>
      <c r="AC518" s="58"/>
      <c r="AD518" s="58"/>
      <c r="AE518" s="58"/>
      <c r="AF518" s="58"/>
      <c r="AG518" s="58"/>
      <c r="AH518" s="58"/>
      <c r="AI518" s="58"/>
      <c r="AJ518" s="58"/>
      <c r="AK518" s="58"/>
      <c r="AL518" s="58"/>
      <c r="AM518" s="58"/>
    </row>
    <row r="519" spans="2:39" ht="12.75">
      <c r="B519" s="58"/>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7"/>
      <c r="AB519" s="67"/>
      <c r="AC519" s="58"/>
      <c r="AD519" s="58"/>
      <c r="AE519" s="58"/>
      <c r="AF519" s="58"/>
      <c r="AG519" s="58"/>
      <c r="AH519" s="58"/>
      <c r="AI519" s="58"/>
      <c r="AJ519" s="58"/>
      <c r="AK519" s="58"/>
      <c r="AL519" s="58"/>
      <c r="AM519" s="58"/>
    </row>
    <row r="520" spans="2:39" ht="12.75">
      <c r="B520" s="58"/>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7"/>
      <c r="AB520" s="67"/>
      <c r="AC520" s="58"/>
      <c r="AD520" s="58"/>
      <c r="AE520" s="58"/>
      <c r="AF520" s="58"/>
      <c r="AG520" s="58"/>
      <c r="AH520" s="58"/>
      <c r="AI520" s="58"/>
      <c r="AJ520" s="58"/>
      <c r="AK520" s="58"/>
      <c r="AL520" s="58"/>
      <c r="AM520" s="58"/>
    </row>
    <row r="521" spans="2:39" ht="12.75">
      <c r="B521" s="58"/>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7"/>
      <c r="AB521" s="67"/>
      <c r="AC521" s="58"/>
      <c r="AD521" s="58"/>
      <c r="AE521" s="58"/>
      <c r="AF521" s="58"/>
      <c r="AG521" s="58"/>
      <c r="AH521" s="58"/>
      <c r="AI521" s="58"/>
      <c r="AJ521" s="58"/>
      <c r="AK521" s="58"/>
      <c r="AL521" s="58"/>
      <c r="AM521" s="58"/>
    </row>
    <row r="522" spans="2:39" ht="12.75">
      <c r="B522" s="58"/>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7"/>
      <c r="AB522" s="67"/>
      <c r="AC522" s="58"/>
      <c r="AD522" s="58"/>
      <c r="AE522" s="58"/>
      <c r="AF522" s="58"/>
      <c r="AG522" s="58"/>
      <c r="AH522" s="58"/>
      <c r="AI522" s="58"/>
      <c r="AJ522" s="58"/>
      <c r="AK522" s="58"/>
      <c r="AL522" s="58"/>
      <c r="AM522" s="58"/>
    </row>
    <row r="523" spans="2:39" ht="12.75">
      <c r="B523" s="58"/>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7"/>
      <c r="AB523" s="67"/>
      <c r="AC523" s="58"/>
      <c r="AD523" s="58"/>
      <c r="AE523" s="58"/>
      <c r="AF523" s="58"/>
      <c r="AG523" s="58"/>
      <c r="AH523" s="58"/>
      <c r="AI523" s="58"/>
      <c r="AJ523" s="58"/>
      <c r="AK523" s="58"/>
      <c r="AL523" s="58"/>
      <c r="AM523" s="58"/>
    </row>
    <row r="524" spans="2:39" ht="12.75">
      <c r="B524" s="58"/>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7"/>
      <c r="AB524" s="67"/>
      <c r="AC524" s="58"/>
      <c r="AD524" s="58"/>
      <c r="AE524" s="58"/>
      <c r="AF524" s="58"/>
      <c r="AG524" s="58"/>
      <c r="AH524" s="58"/>
      <c r="AI524" s="58"/>
      <c r="AJ524" s="58"/>
      <c r="AK524" s="58"/>
      <c r="AL524" s="58"/>
      <c r="AM524" s="58"/>
    </row>
    <row r="525" spans="2:39" ht="12.75">
      <c r="B525" s="58"/>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7"/>
      <c r="AB525" s="67"/>
      <c r="AC525" s="58"/>
      <c r="AD525" s="58"/>
      <c r="AE525" s="58"/>
      <c r="AF525" s="58"/>
      <c r="AG525" s="58"/>
      <c r="AH525" s="58"/>
      <c r="AI525" s="58"/>
      <c r="AJ525" s="58"/>
      <c r="AK525" s="58"/>
      <c r="AL525" s="58"/>
      <c r="AM525" s="58"/>
    </row>
    <row r="526" spans="2:39" ht="12.75">
      <c r="B526" s="58"/>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7"/>
      <c r="AB526" s="67"/>
      <c r="AC526" s="58"/>
      <c r="AD526" s="58"/>
      <c r="AE526" s="58"/>
      <c r="AF526" s="58"/>
      <c r="AG526" s="58"/>
      <c r="AH526" s="58"/>
      <c r="AI526" s="58"/>
      <c r="AJ526" s="58"/>
      <c r="AK526" s="58"/>
      <c r="AL526" s="58"/>
      <c r="AM526" s="58"/>
    </row>
    <row r="527" spans="2:39" ht="12.75">
      <c r="B527" s="58"/>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7"/>
      <c r="AB527" s="67"/>
      <c r="AC527" s="58"/>
      <c r="AD527" s="58"/>
      <c r="AE527" s="58"/>
      <c r="AF527" s="58"/>
      <c r="AG527" s="58"/>
      <c r="AH527" s="58"/>
      <c r="AI527" s="58"/>
      <c r="AJ527" s="58"/>
      <c r="AK527" s="58"/>
      <c r="AL527" s="58"/>
      <c r="AM527" s="58"/>
    </row>
    <row r="528" spans="2:39" ht="12.75">
      <c r="B528" s="58"/>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7"/>
      <c r="AB528" s="67"/>
      <c r="AC528" s="58"/>
      <c r="AD528" s="58"/>
      <c r="AE528" s="58"/>
      <c r="AF528" s="58"/>
      <c r="AG528" s="58"/>
      <c r="AH528" s="58"/>
      <c r="AI528" s="58"/>
      <c r="AJ528" s="58"/>
      <c r="AK528" s="58"/>
      <c r="AL528" s="58"/>
      <c r="AM528" s="58"/>
    </row>
    <row r="529" spans="2:39" ht="12.75">
      <c r="B529" s="58"/>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7"/>
      <c r="AB529" s="67"/>
      <c r="AC529" s="58"/>
      <c r="AD529" s="58"/>
      <c r="AE529" s="58"/>
      <c r="AF529" s="58"/>
      <c r="AG529" s="58"/>
      <c r="AH529" s="58"/>
      <c r="AI529" s="58"/>
      <c r="AJ529" s="58"/>
      <c r="AK529" s="58"/>
      <c r="AL529" s="58"/>
      <c r="AM529" s="58"/>
    </row>
    <row r="530" spans="2:39" ht="12.75">
      <c r="B530" s="58"/>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7"/>
      <c r="AB530" s="67"/>
      <c r="AC530" s="58"/>
      <c r="AD530" s="58"/>
      <c r="AE530" s="58"/>
      <c r="AF530" s="58"/>
      <c r="AG530" s="58"/>
      <c r="AH530" s="58"/>
      <c r="AI530" s="58"/>
      <c r="AJ530" s="58"/>
      <c r="AK530" s="58"/>
      <c r="AL530" s="58"/>
      <c r="AM530" s="58"/>
    </row>
    <row r="531" spans="2:39" ht="12.75">
      <c r="B531" s="58"/>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7"/>
      <c r="AB531" s="67"/>
      <c r="AC531" s="58"/>
      <c r="AD531" s="58"/>
      <c r="AE531" s="58"/>
      <c r="AF531" s="58"/>
      <c r="AG531" s="58"/>
      <c r="AH531" s="58"/>
      <c r="AI531" s="58"/>
      <c r="AJ531" s="58"/>
      <c r="AK531" s="58"/>
      <c r="AL531" s="58"/>
      <c r="AM531" s="58"/>
    </row>
    <row r="532" spans="2:39" ht="12.75">
      <c r="B532" s="58"/>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7"/>
      <c r="AB532" s="67"/>
      <c r="AC532" s="58"/>
      <c r="AD532" s="58"/>
      <c r="AE532" s="58"/>
      <c r="AF532" s="58"/>
      <c r="AG532" s="58"/>
      <c r="AH532" s="58"/>
      <c r="AI532" s="58"/>
      <c r="AJ532" s="58"/>
      <c r="AK532" s="58"/>
      <c r="AL532" s="58"/>
      <c r="AM532" s="58"/>
    </row>
    <row r="533" spans="2:39" ht="12.75">
      <c r="B533" s="58"/>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7"/>
      <c r="AB533" s="67"/>
      <c r="AC533" s="58"/>
      <c r="AD533" s="58"/>
      <c r="AE533" s="58"/>
      <c r="AF533" s="58"/>
      <c r="AG533" s="58"/>
      <c r="AH533" s="58"/>
      <c r="AI533" s="58"/>
      <c r="AJ533" s="58"/>
      <c r="AK533" s="58"/>
      <c r="AL533" s="58"/>
      <c r="AM533" s="58"/>
    </row>
    <row r="534" spans="2:39" ht="12.75">
      <c r="B534" s="58"/>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7"/>
      <c r="AB534" s="67"/>
      <c r="AC534" s="58"/>
      <c r="AD534" s="58"/>
      <c r="AE534" s="58"/>
      <c r="AF534" s="58"/>
      <c r="AG534" s="58"/>
      <c r="AH534" s="58"/>
      <c r="AI534" s="58"/>
      <c r="AJ534" s="58"/>
      <c r="AK534" s="58"/>
      <c r="AL534" s="58"/>
      <c r="AM534" s="58"/>
    </row>
    <row r="535" spans="2:39" ht="12.75">
      <c r="B535" s="58"/>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7"/>
      <c r="AB535" s="67"/>
      <c r="AC535" s="58"/>
      <c r="AD535" s="58"/>
      <c r="AE535" s="58"/>
      <c r="AF535" s="58"/>
      <c r="AG535" s="58"/>
      <c r="AH535" s="58"/>
      <c r="AI535" s="58"/>
      <c r="AJ535" s="58"/>
      <c r="AK535" s="58"/>
      <c r="AL535" s="58"/>
      <c r="AM535" s="58"/>
    </row>
    <row r="536" spans="2:39" ht="12.75">
      <c r="B536" s="58"/>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7"/>
      <c r="AB536" s="67"/>
      <c r="AC536" s="58"/>
      <c r="AD536" s="58"/>
      <c r="AE536" s="58"/>
      <c r="AF536" s="58"/>
      <c r="AG536" s="58"/>
      <c r="AH536" s="58"/>
      <c r="AI536" s="58"/>
      <c r="AJ536" s="58"/>
      <c r="AK536" s="58"/>
      <c r="AL536" s="58"/>
      <c r="AM536" s="58"/>
    </row>
    <row r="537" spans="2:39" ht="12.75">
      <c r="B537" s="58"/>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7"/>
      <c r="AB537" s="67"/>
      <c r="AC537" s="58"/>
      <c r="AD537" s="58"/>
      <c r="AE537" s="58"/>
      <c r="AF537" s="58"/>
      <c r="AG537" s="58"/>
      <c r="AH537" s="58"/>
      <c r="AI537" s="58"/>
      <c r="AJ537" s="58"/>
      <c r="AK537" s="58"/>
      <c r="AL537" s="58"/>
      <c r="AM537" s="58"/>
    </row>
    <row r="538" spans="2:39" ht="12.75">
      <c r="B538" s="58"/>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7"/>
      <c r="AB538" s="67"/>
      <c r="AC538" s="58"/>
      <c r="AD538" s="58"/>
      <c r="AE538" s="58"/>
      <c r="AF538" s="58"/>
      <c r="AG538" s="58"/>
      <c r="AH538" s="58"/>
      <c r="AI538" s="58"/>
      <c r="AJ538" s="58"/>
      <c r="AK538" s="58"/>
      <c r="AL538" s="58"/>
      <c r="AM538" s="58"/>
    </row>
    <row r="539" spans="2:39" ht="12.75">
      <c r="B539" s="58"/>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7"/>
      <c r="AB539" s="67"/>
      <c r="AC539" s="58"/>
      <c r="AD539" s="58"/>
      <c r="AE539" s="58"/>
      <c r="AF539" s="58"/>
      <c r="AG539" s="58"/>
      <c r="AH539" s="58"/>
      <c r="AI539" s="58"/>
      <c r="AJ539" s="58"/>
      <c r="AK539" s="58"/>
      <c r="AL539" s="58"/>
      <c r="AM539" s="58"/>
    </row>
    <row r="540" spans="2:39" ht="12.75">
      <c r="B540" s="58"/>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7"/>
      <c r="AB540" s="67"/>
      <c r="AC540" s="58"/>
      <c r="AD540" s="58"/>
      <c r="AE540" s="58"/>
      <c r="AF540" s="58"/>
      <c r="AG540" s="58"/>
      <c r="AH540" s="58"/>
      <c r="AI540" s="58"/>
      <c r="AJ540" s="58"/>
      <c r="AK540" s="58"/>
      <c r="AL540" s="58"/>
      <c r="AM540" s="58"/>
    </row>
    <row r="541" spans="2:39" ht="12.75">
      <c r="B541" s="58"/>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7"/>
      <c r="AB541" s="67"/>
      <c r="AC541" s="58"/>
      <c r="AD541" s="58"/>
      <c r="AE541" s="58"/>
      <c r="AF541" s="58"/>
      <c r="AG541" s="58"/>
      <c r="AH541" s="58"/>
      <c r="AI541" s="58"/>
      <c r="AJ541" s="58"/>
      <c r="AK541" s="58"/>
      <c r="AL541" s="58"/>
      <c r="AM541" s="58"/>
    </row>
    <row r="542" spans="2:39" ht="12.75">
      <c r="B542" s="58"/>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7"/>
      <c r="AB542" s="67"/>
      <c r="AC542" s="58"/>
      <c r="AD542" s="58"/>
      <c r="AE542" s="58"/>
      <c r="AF542" s="58"/>
      <c r="AG542" s="58"/>
      <c r="AH542" s="58"/>
      <c r="AI542" s="58"/>
      <c r="AJ542" s="58"/>
      <c r="AK542" s="58"/>
      <c r="AL542" s="58"/>
      <c r="AM542" s="58"/>
    </row>
    <row r="543" spans="2:39" ht="12.75">
      <c r="B543" s="58"/>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7"/>
      <c r="AB543" s="67"/>
      <c r="AC543" s="58"/>
      <c r="AD543" s="58"/>
      <c r="AE543" s="58"/>
      <c r="AF543" s="58"/>
      <c r="AG543" s="58"/>
      <c r="AH543" s="58"/>
      <c r="AI543" s="58"/>
      <c r="AJ543" s="58"/>
      <c r="AK543" s="58"/>
      <c r="AL543" s="58"/>
      <c r="AM543" s="58"/>
    </row>
    <row r="544" spans="2:39" ht="12.75">
      <c r="B544" s="58"/>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7"/>
      <c r="AB544" s="67"/>
      <c r="AC544" s="58"/>
      <c r="AD544" s="58"/>
      <c r="AE544" s="58"/>
      <c r="AF544" s="58"/>
      <c r="AG544" s="58"/>
      <c r="AH544" s="58"/>
      <c r="AI544" s="58"/>
      <c r="AJ544" s="58"/>
      <c r="AK544" s="58"/>
      <c r="AL544" s="58"/>
      <c r="AM544" s="58"/>
    </row>
    <row r="545" spans="2:39" ht="12.75">
      <c r="B545" s="58"/>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7"/>
      <c r="AB545" s="67"/>
      <c r="AC545" s="58"/>
      <c r="AD545" s="58"/>
      <c r="AE545" s="58"/>
      <c r="AF545" s="58"/>
      <c r="AG545" s="58"/>
      <c r="AH545" s="58"/>
      <c r="AI545" s="58"/>
      <c r="AJ545" s="58"/>
      <c r="AK545" s="58"/>
      <c r="AL545" s="58"/>
      <c r="AM545" s="58"/>
    </row>
    <row r="546" spans="2:39" ht="12.75">
      <c r="B546" s="58"/>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7"/>
      <c r="AB546" s="67"/>
      <c r="AC546" s="58"/>
      <c r="AD546" s="58"/>
      <c r="AE546" s="58"/>
      <c r="AF546" s="58"/>
      <c r="AG546" s="58"/>
      <c r="AH546" s="58"/>
      <c r="AI546" s="58"/>
      <c r="AJ546" s="58"/>
      <c r="AK546" s="58"/>
      <c r="AL546" s="58"/>
      <c r="AM546" s="58"/>
    </row>
    <row r="547" spans="2:39" ht="12.75">
      <c r="B547" s="58"/>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7"/>
      <c r="AB547" s="67"/>
      <c r="AC547" s="58"/>
      <c r="AD547" s="58"/>
      <c r="AE547" s="58"/>
      <c r="AF547" s="58"/>
      <c r="AG547" s="58"/>
      <c r="AH547" s="58"/>
      <c r="AI547" s="58"/>
      <c r="AJ547" s="58"/>
      <c r="AK547" s="58"/>
      <c r="AL547" s="58"/>
      <c r="AM547" s="58"/>
    </row>
    <row r="548" spans="2:39" ht="12.75">
      <c r="B548" s="58"/>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7"/>
      <c r="AB548" s="67"/>
      <c r="AC548" s="58"/>
      <c r="AD548" s="58"/>
      <c r="AE548" s="58"/>
      <c r="AF548" s="58"/>
      <c r="AG548" s="58"/>
      <c r="AH548" s="58"/>
      <c r="AI548" s="58"/>
      <c r="AJ548" s="58"/>
      <c r="AK548" s="58"/>
      <c r="AL548" s="58"/>
      <c r="AM548" s="58"/>
    </row>
    <row r="549" spans="2:39" ht="12.75">
      <c r="B549" s="58"/>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7"/>
      <c r="AB549" s="67"/>
      <c r="AC549" s="58"/>
      <c r="AD549" s="58"/>
      <c r="AE549" s="58"/>
      <c r="AF549" s="58"/>
      <c r="AG549" s="58"/>
      <c r="AH549" s="58"/>
      <c r="AI549" s="58"/>
      <c r="AJ549" s="58"/>
      <c r="AK549" s="58"/>
      <c r="AL549" s="58"/>
      <c r="AM549" s="58"/>
    </row>
    <row r="550" spans="2:39" ht="12.75">
      <c r="B550" s="58"/>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7"/>
      <c r="AB550" s="67"/>
      <c r="AC550" s="58"/>
      <c r="AD550" s="58"/>
      <c r="AE550" s="58"/>
      <c r="AF550" s="58"/>
      <c r="AG550" s="58"/>
      <c r="AH550" s="58"/>
      <c r="AI550" s="58"/>
      <c r="AJ550" s="58"/>
      <c r="AK550" s="58"/>
      <c r="AL550" s="58"/>
      <c r="AM550" s="58"/>
    </row>
    <row r="551" spans="2:39" ht="12.75">
      <c r="B551" s="58"/>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7"/>
      <c r="AB551" s="67"/>
      <c r="AC551" s="58"/>
      <c r="AD551" s="58"/>
      <c r="AE551" s="58"/>
      <c r="AF551" s="58"/>
      <c r="AG551" s="58"/>
      <c r="AH551" s="58"/>
      <c r="AI551" s="58"/>
      <c r="AJ551" s="58"/>
      <c r="AK551" s="58"/>
      <c r="AL551" s="58"/>
      <c r="AM551" s="58"/>
    </row>
    <row r="552" spans="2:39" ht="12.75">
      <c r="B552" s="58"/>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7"/>
      <c r="AB552" s="67"/>
      <c r="AC552" s="58"/>
      <c r="AD552" s="58"/>
      <c r="AE552" s="58"/>
      <c r="AF552" s="58"/>
      <c r="AG552" s="58"/>
      <c r="AH552" s="58"/>
      <c r="AI552" s="58"/>
      <c r="AJ552" s="58"/>
      <c r="AK552" s="58"/>
      <c r="AL552" s="58"/>
      <c r="AM552" s="58"/>
    </row>
    <row r="553" spans="2:39" ht="12.75">
      <c r="B553" s="58"/>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7"/>
      <c r="AB553" s="67"/>
      <c r="AC553" s="58"/>
      <c r="AD553" s="58"/>
      <c r="AE553" s="58"/>
      <c r="AF553" s="58"/>
      <c r="AG553" s="58"/>
      <c r="AH553" s="58"/>
      <c r="AI553" s="58"/>
      <c r="AJ553" s="58"/>
      <c r="AK553" s="58"/>
      <c r="AL553" s="58"/>
      <c r="AM553" s="58"/>
    </row>
    <row r="554" spans="2:39" ht="12.75">
      <c r="B554" s="58"/>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7"/>
      <c r="AB554" s="67"/>
      <c r="AC554" s="58"/>
      <c r="AD554" s="58"/>
      <c r="AE554" s="58"/>
      <c r="AF554" s="58"/>
      <c r="AG554" s="58"/>
      <c r="AH554" s="58"/>
      <c r="AI554" s="58"/>
      <c r="AJ554" s="58"/>
      <c r="AK554" s="58"/>
      <c r="AL554" s="58"/>
      <c r="AM554" s="58"/>
    </row>
    <row r="555" spans="2:39" ht="12.75">
      <c r="B555" s="58"/>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7"/>
      <c r="AB555" s="67"/>
      <c r="AC555" s="58"/>
      <c r="AD555" s="58"/>
      <c r="AE555" s="58"/>
      <c r="AF555" s="58"/>
      <c r="AG555" s="58"/>
      <c r="AH555" s="58"/>
      <c r="AI555" s="58"/>
      <c r="AJ555" s="58"/>
      <c r="AK555" s="58"/>
      <c r="AL555" s="58"/>
      <c r="AM555" s="58"/>
    </row>
    <row r="556" spans="2:39" ht="12.75">
      <c r="B556" s="58"/>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7"/>
      <c r="AB556" s="67"/>
      <c r="AC556" s="58"/>
      <c r="AD556" s="58"/>
      <c r="AE556" s="58"/>
      <c r="AF556" s="58"/>
      <c r="AG556" s="58"/>
      <c r="AH556" s="58"/>
      <c r="AI556" s="58"/>
      <c r="AJ556" s="58"/>
      <c r="AK556" s="58"/>
      <c r="AL556" s="58"/>
      <c r="AM556" s="58"/>
    </row>
    <row r="557" spans="2:39" ht="12.75">
      <c r="B557" s="58"/>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7"/>
      <c r="AB557" s="67"/>
      <c r="AC557" s="58"/>
      <c r="AD557" s="58"/>
      <c r="AE557" s="58"/>
      <c r="AF557" s="58"/>
      <c r="AG557" s="58"/>
      <c r="AH557" s="58"/>
      <c r="AI557" s="58"/>
      <c r="AJ557" s="58"/>
      <c r="AK557" s="58"/>
      <c r="AL557" s="58"/>
      <c r="AM557" s="58"/>
    </row>
    <row r="558" spans="2:39" ht="12.75">
      <c r="B558" s="58"/>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7"/>
      <c r="AB558" s="67"/>
      <c r="AC558" s="58"/>
      <c r="AD558" s="58"/>
      <c r="AE558" s="58"/>
      <c r="AF558" s="58"/>
      <c r="AG558" s="58"/>
      <c r="AH558" s="58"/>
      <c r="AI558" s="58"/>
      <c r="AJ558" s="58"/>
      <c r="AK558" s="58"/>
      <c r="AL558" s="58"/>
      <c r="AM558" s="58"/>
    </row>
    <row r="559" spans="2:39" ht="12.75">
      <c r="B559" s="58"/>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7"/>
      <c r="AB559" s="67"/>
      <c r="AC559" s="58"/>
      <c r="AD559" s="58"/>
      <c r="AE559" s="58"/>
      <c r="AF559" s="58"/>
      <c r="AG559" s="58"/>
      <c r="AH559" s="58"/>
      <c r="AI559" s="58"/>
      <c r="AJ559" s="58"/>
      <c r="AK559" s="58"/>
      <c r="AL559" s="58"/>
      <c r="AM559" s="58"/>
    </row>
    <row r="560" spans="2:39" ht="12.75">
      <c r="B560" s="58"/>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7"/>
      <c r="AB560" s="67"/>
      <c r="AC560" s="58"/>
      <c r="AD560" s="58"/>
      <c r="AE560" s="58"/>
      <c r="AF560" s="58"/>
      <c r="AG560" s="58"/>
      <c r="AH560" s="58"/>
      <c r="AI560" s="58"/>
      <c r="AJ560" s="58"/>
      <c r="AK560" s="58"/>
      <c r="AL560" s="58"/>
      <c r="AM560" s="58"/>
    </row>
    <row r="561" spans="2:39" ht="12.75">
      <c r="B561" s="58"/>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7"/>
      <c r="AB561" s="67"/>
      <c r="AC561" s="58"/>
      <c r="AD561" s="58"/>
      <c r="AE561" s="58"/>
      <c r="AF561" s="58"/>
      <c r="AG561" s="58"/>
      <c r="AH561" s="58"/>
      <c r="AI561" s="58"/>
      <c r="AJ561" s="58"/>
      <c r="AK561" s="58"/>
      <c r="AL561" s="58"/>
      <c r="AM561" s="58"/>
    </row>
    <row r="562" spans="2:39" ht="12.75">
      <c r="B562" s="58"/>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7"/>
      <c r="AB562" s="67"/>
      <c r="AC562" s="58"/>
      <c r="AD562" s="58"/>
      <c r="AE562" s="58"/>
      <c r="AF562" s="58"/>
      <c r="AG562" s="58"/>
      <c r="AH562" s="58"/>
      <c r="AI562" s="58"/>
      <c r="AJ562" s="58"/>
      <c r="AK562" s="58"/>
      <c r="AL562" s="58"/>
      <c r="AM562" s="58"/>
    </row>
    <row r="563" spans="2:39" ht="12.75">
      <c r="B563" s="58"/>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7"/>
      <c r="AB563" s="67"/>
      <c r="AC563" s="58"/>
      <c r="AD563" s="58"/>
      <c r="AE563" s="58"/>
      <c r="AF563" s="58"/>
      <c r="AG563" s="58"/>
      <c r="AH563" s="58"/>
      <c r="AI563" s="58"/>
      <c r="AJ563" s="58"/>
      <c r="AK563" s="58"/>
      <c r="AL563" s="58"/>
      <c r="AM563" s="58"/>
    </row>
    <row r="564" spans="2:39" ht="12.75">
      <c r="B564" s="58"/>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7"/>
      <c r="AB564" s="67"/>
      <c r="AC564" s="58"/>
      <c r="AD564" s="58"/>
      <c r="AE564" s="58"/>
      <c r="AF564" s="58"/>
      <c r="AG564" s="58"/>
      <c r="AH564" s="58"/>
      <c r="AI564" s="58"/>
      <c r="AJ564" s="58"/>
      <c r="AK564" s="58"/>
      <c r="AL564" s="58"/>
      <c r="AM564" s="58"/>
    </row>
    <row r="565" spans="2:39" ht="12.75">
      <c r="B565" s="58"/>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7"/>
      <c r="AB565" s="67"/>
      <c r="AC565" s="58"/>
      <c r="AD565" s="58"/>
      <c r="AE565" s="58"/>
      <c r="AF565" s="58"/>
      <c r="AG565" s="58"/>
      <c r="AH565" s="58"/>
      <c r="AI565" s="58"/>
      <c r="AJ565" s="58"/>
      <c r="AK565" s="58"/>
      <c r="AL565" s="58"/>
      <c r="AM565" s="58"/>
    </row>
    <row r="566" spans="2:39" ht="12.75">
      <c r="B566" s="58"/>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7"/>
      <c r="AB566" s="67"/>
      <c r="AC566" s="58"/>
      <c r="AD566" s="58"/>
      <c r="AE566" s="58"/>
      <c r="AF566" s="58"/>
      <c r="AG566" s="58"/>
      <c r="AH566" s="58"/>
      <c r="AI566" s="58"/>
      <c r="AJ566" s="58"/>
      <c r="AK566" s="58"/>
      <c r="AL566" s="58"/>
      <c r="AM566" s="58"/>
    </row>
    <row r="567" spans="2:39" ht="12.75">
      <c r="B567" s="58"/>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7"/>
      <c r="AB567" s="67"/>
      <c r="AC567" s="58"/>
      <c r="AD567" s="58"/>
      <c r="AE567" s="58"/>
      <c r="AF567" s="58"/>
      <c r="AG567" s="58"/>
      <c r="AH567" s="58"/>
      <c r="AI567" s="58"/>
      <c r="AJ567" s="58"/>
      <c r="AK567" s="58"/>
      <c r="AL567" s="58"/>
      <c r="AM567" s="58"/>
    </row>
    <row r="568" spans="2:39" ht="12.75">
      <c r="B568" s="58"/>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7"/>
      <c r="AB568" s="67"/>
      <c r="AC568" s="58"/>
      <c r="AD568" s="58"/>
      <c r="AE568" s="58"/>
      <c r="AF568" s="58"/>
      <c r="AG568" s="58"/>
      <c r="AH568" s="58"/>
      <c r="AI568" s="58"/>
      <c r="AJ568" s="58"/>
      <c r="AK568" s="58"/>
      <c r="AL568" s="58"/>
      <c r="AM568" s="58"/>
    </row>
    <row r="569" spans="2:39" ht="12.75">
      <c r="B569" s="58"/>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7"/>
      <c r="AB569" s="67"/>
      <c r="AC569" s="58"/>
      <c r="AD569" s="58"/>
      <c r="AE569" s="58"/>
      <c r="AF569" s="58"/>
      <c r="AG569" s="58"/>
      <c r="AH569" s="58"/>
      <c r="AI569" s="58"/>
      <c r="AJ569" s="58"/>
      <c r="AK569" s="58"/>
      <c r="AL569" s="58"/>
      <c r="AM569" s="58"/>
    </row>
    <row r="570" spans="2:39" ht="12.75">
      <c r="B570" s="58"/>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7"/>
      <c r="AB570" s="67"/>
      <c r="AC570" s="58"/>
      <c r="AD570" s="58"/>
      <c r="AE570" s="58"/>
      <c r="AF570" s="58"/>
      <c r="AG570" s="58"/>
      <c r="AH570" s="58"/>
      <c r="AI570" s="58"/>
      <c r="AJ570" s="58"/>
      <c r="AK570" s="58"/>
      <c r="AL570" s="58"/>
      <c r="AM570" s="58"/>
    </row>
    <row r="571" spans="2:39" ht="12.75">
      <c r="B571" s="58"/>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7"/>
      <c r="AB571" s="67"/>
      <c r="AC571" s="58"/>
      <c r="AD571" s="58"/>
      <c r="AE571" s="58"/>
      <c r="AF571" s="58"/>
      <c r="AG571" s="58"/>
      <c r="AH571" s="58"/>
      <c r="AI571" s="58"/>
      <c r="AJ571" s="58"/>
      <c r="AK571" s="58"/>
      <c r="AL571" s="58"/>
      <c r="AM571" s="58"/>
    </row>
    <row r="572" spans="2:39" ht="12.75">
      <c r="B572" s="58"/>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7"/>
      <c r="AB572" s="67"/>
      <c r="AC572" s="58"/>
      <c r="AD572" s="58"/>
      <c r="AE572" s="58"/>
      <c r="AF572" s="58"/>
      <c r="AG572" s="58"/>
      <c r="AH572" s="58"/>
      <c r="AI572" s="58"/>
      <c r="AJ572" s="58"/>
      <c r="AK572" s="58"/>
      <c r="AL572" s="58"/>
      <c r="AM572" s="58"/>
    </row>
    <row r="573" spans="2:39" ht="12.75">
      <c r="B573" s="58"/>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7"/>
      <c r="AB573" s="67"/>
      <c r="AC573" s="58"/>
      <c r="AD573" s="58"/>
      <c r="AE573" s="58"/>
      <c r="AF573" s="58"/>
      <c r="AG573" s="58"/>
      <c r="AH573" s="58"/>
      <c r="AI573" s="58"/>
      <c r="AJ573" s="58"/>
      <c r="AK573" s="58"/>
      <c r="AL573" s="58"/>
      <c r="AM573" s="58"/>
    </row>
    <row r="574" spans="2:39" ht="12.75">
      <c r="B574" s="58"/>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7"/>
      <c r="AB574" s="67"/>
      <c r="AC574" s="58"/>
      <c r="AD574" s="58"/>
      <c r="AE574" s="58"/>
      <c r="AF574" s="58"/>
      <c r="AG574" s="58"/>
      <c r="AH574" s="58"/>
      <c r="AI574" s="58"/>
      <c r="AJ574" s="58"/>
      <c r="AK574" s="58"/>
      <c r="AL574" s="58"/>
      <c r="AM574" s="58"/>
    </row>
    <row r="575" spans="2:39" ht="12.75">
      <c r="B575" s="58"/>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7"/>
      <c r="AB575" s="67"/>
      <c r="AC575" s="58"/>
      <c r="AD575" s="58"/>
      <c r="AE575" s="58"/>
      <c r="AF575" s="58"/>
      <c r="AG575" s="58"/>
      <c r="AH575" s="58"/>
      <c r="AI575" s="58"/>
      <c r="AJ575" s="58"/>
      <c r="AK575" s="58"/>
      <c r="AL575" s="58"/>
      <c r="AM575" s="58"/>
    </row>
    <row r="576" spans="2:39" ht="12.75">
      <c r="B576" s="58"/>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7"/>
      <c r="AB576" s="67"/>
      <c r="AC576" s="58"/>
      <c r="AD576" s="58"/>
      <c r="AE576" s="58"/>
      <c r="AF576" s="58"/>
      <c r="AG576" s="58"/>
      <c r="AH576" s="58"/>
      <c r="AI576" s="58"/>
      <c r="AJ576" s="58"/>
      <c r="AK576" s="58"/>
      <c r="AL576" s="58"/>
      <c r="AM576" s="58"/>
    </row>
    <row r="577" spans="2:39" ht="12.75">
      <c r="B577" s="58"/>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7"/>
      <c r="AB577" s="67"/>
      <c r="AC577" s="58"/>
      <c r="AD577" s="58"/>
      <c r="AE577" s="58"/>
      <c r="AF577" s="58"/>
      <c r="AG577" s="58"/>
      <c r="AH577" s="58"/>
      <c r="AI577" s="58"/>
      <c r="AJ577" s="58"/>
      <c r="AK577" s="58"/>
      <c r="AL577" s="58"/>
      <c r="AM577" s="58"/>
    </row>
    <row r="578" spans="2:39" ht="12.75">
      <c r="B578" s="58"/>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7"/>
      <c r="AB578" s="67"/>
      <c r="AC578" s="58"/>
      <c r="AD578" s="58"/>
      <c r="AE578" s="58"/>
      <c r="AF578" s="58"/>
      <c r="AG578" s="58"/>
      <c r="AH578" s="58"/>
      <c r="AI578" s="58"/>
      <c r="AJ578" s="58"/>
      <c r="AK578" s="58"/>
      <c r="AL578" s="58"/>
      <c r="AM578" s="58"/>
    </row>
    <row r="579" spans="2:39" ht="12.75">
      <c r="B579" s="58"/>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7"/>
      <c r="AB579" s="67"/>
      <c r="AC579" s="58"/>
      <c r="AD579" s="58"/>
      <c r="AE579" s="58"/>
      <c r="AF579" s="58"/>
      <c r="AG579" s="58"/>
      <c r="AH579" s="58"/>
      <c r="AI579" s="58"/>
      <c r="AJ579" s="58"/>
      <c r="AK579" s="58"/>
      <c r="AL579" s="58"/>
      <c r="AM579" s="58"/>
    </row>
    <row r="580" spans="2:39" ht="12.75">
      <c r="B580" s="58"/>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7"/>
      <c r="AB580" s="67"/>
      <c r="AC580" s="58"/>
      <c r="AD580" s="58"/>
      <c r="AE580" s="58"/>
      <c r="AF580" s="58"/>
      <c r="AG580" s="58"/>
      <c r="AH580" s="58"/>
      <c r="AI580" s="58"/>
      <c r="AJ580" s="58"/>
      <c r="AK580" s="58"/>
      <c r="AL580" s="58"/>
      <c r="AM580" s="58"/>
    </row>
    <row r="581" spans="2:39" ht="12.75">
      <c r="B581" s="58"/>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7"/>
      <c r="AB581" s="67"/>
      <c r="AC581" s="58"/>
      <c r="AD581" s="58"/>
      <c r="AE581" s="58"/>
      <c r="AF581" s="58"/>
      <c r="AG581" s="58"/>
      <c r="AH581" s="58"/>
      <c r="AI581" s="58"/>
      <c r="AJ581" s="58"/>
      <c r="AK581" s="58"/>
      <c r="AL581" s="58"/>
      <c r="AM581" s="58"/>
    </row>
    <row r="582" spans="2:39" ht="12.75">
      <c r="B582" s="58"/>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7"/>
      <c r="AB582" s="67"/>
      <c r="AC582" s="58"/>
      <c r="AD582" s="58"/>
      <c r="AE582" s="58"/>
      <c r="AF582" s="58"/>
      <c r="AG582" s="58"/>
      <c r="AH582" s="58"/>
      <c r="AI582" s="58"/>
      <c r="AJ582" s="58"/>
      <c r="AK582" s="58"/>
      <c r="AL582" s="58"/>
      <c r="AM582" s="58"/>
    </row>
    <row r="583" spans="2:39" ht="12.75">
      <c r="B583" s="58"/>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7"/>
      <c r="AB583" s="67"/>
      <c r="AC583" s="58"/>
      <c r="AD583" s="58"/>
      <c r="AE583" s="58"/>
      <c r="AF583" s="58"/>
      <c r="AG583" s="58"/>
      <c r="AH583" s="58"/>
      <c r="AI583" s="58"/>
      <c r="AJ583" s="58"/>
      <c r="AK583" s="58"/>
      <c r="AL583" s="58"/>
      <c r="AM583" s="58"/>
    </row>
    <row r="584" spans="2:39" ht="12.75">
      <c r="B584" s="58"/>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7"/>
      <c r="AB584" s="67"/>
      <c r="AC584" s="58"/>
      <c r="AD584" s="58"/>
      <c r="AE584" s="58"/>
      <c r="AF584" s="58"/>
      <c r="AG584" s="58"/>
      <c r="AH584" s="58"/>
      <c r="AI584" s="58"/>
      <c r="AJ584" s="58"/>
      <c r="AK584" s="58"/>
      <c r="AL584" s="58"/>
      <c r="AM584" s="58"/>
    </row>
    <row r="585" spans="2:39" ht="12.75">
      <c r="B585" s="58"/>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7"/>
      <c r="AB585" s="67"/>
      <c r="AC585" s="58"/>
      <c r="AD585" s="58"/>
      <c r="AE585" s="58"/>
      <c r="AF585" s="58"/>
      <c r="AG585" s="58"/>
      <c r="AH585" s="58"/>
      <c r="AI585" s="58"/>
      <c r="AJ585" s="58"/>
      <c r="AK585" s="58"/>
      <c r="AL585" s="58"/>
      <c r="AM585" s="58"/>
    </row>
    <row r="586" spans="2:39" ht="12.75">
      <c r="B586" s="58"/>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7"/>
      <c r="AB586" s="67"/>
      <c r="AC586" s="58"/>
      <c r="AD586" s="58"/>
      <c r="AE586" s="58"/>
      <c r="AF586" s="58"/>
      <c r="AG586" s="58"/>
      <c r="AH586" s="58"/>
      <c r="AI586" s="58"/>
      <c r="AJ586" s="58"/>
      <c r="AK586" s="58"/>
      <c r="AL586" s="58"/>
      <c r="AM586" s="58"/>
    </row>
    <row r="587" spans="2:39" ht="12.75">
      <c r="B587" s="58"/>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7"/>
      <c r="AB587" s="67"/>
      <c r="AC587" s="58"/>
      <c r="AD587" s="58"/>
      <c r="AE587" s="58"/>
      <c r="AF587" s="58"/>
      <c r="AG587" s="58"/>
      <c r="AH587" s="58"/>
      <c r="AI587" s="58"/>
      <c r="AJ587" s="58"/>
      <c r="AK587" s="58"/>
      <c r="AL587" s="58"/>
      <c r="AM587" s="58"/>
    </row>
    <row r="588" spans="2:39" ht="12.75">
      <c r="B588" s="58"/>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7"/>
      <c r="AB588" s="67"/>
      <c r="AC588" s="58"/>
      <c r="AD588" s="58"/>
      <c r="AE588" s="58"/>
      <c r="AF588" s="58"/>
      <c r="AG588" s="58"/>
      <c r="AH588" s="58"/>
      <c r="AI588" s="58"/>
      <c r="AJ588" s="58"/>
      <c r="AK588" s="58"/>
      <c r="AL588" s="58"/>
      <c r="AM588" s="58"/>
    </row>
    <row r="589" spans="2:39" ht="12.75">
      <c r="B589" s="58"/>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7"/>
      <c r="AB589" s="67"/>
      <c r="AC589" s="58"/>
      <c r="AD589" s="58"/>
      <c r="AE589" s="58"/>
      <c r="AF589" s="58"/>
      <c r="AG589" s="58"/>
      <c r="AH589" s="58"/>
      <c r="AI589" s="58"/>
      <c r="AJ589" s="58"/>
      <c r="AK589" s="58"/>
      <c r="AL589" s="58"/>
      <c r="AM589" s="58"/>
    </row>
    <row r="590" spans="2:39" ht="12.75">
      <c r="B590" s="58"/>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7"/>
      <c r="AB590" s="67"/>
      <c r="AC590" s="58"/>
      <c r="AD590" s="58"/>
      <c r="AE590" s="58"/>
      <c r="AF590" s="58"/>
      <c r="AG590" s="58"/>
      <c r="AH590" s="58"/>
      <c r="AI590" s="58"/>
      <c r="AJ590" s="58"/>
      <c r="AK590" s="58"/>
      <c r="AL590" s="58"/>
      <c r="AM590" s="58"/>
    </row>
    <row r="591" spans="2:39" ht="12.75">
      <c r="B591" s="58"/>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7"/>
      <c r="AB591" s="67"/>
      <c r="AC591" s="58"/>
      <c r="AD591" s="58"/>
      <c r="AE591" s="58"/>
      <c r="AF591" s="58"/>
      <c r="AG591" s="58"/>
      <c r="AH591" s="58"/>
      <c r="AI591" s="58"/>
      <c r="AJ591" s="58"/>
      <c r="AK591" s="58"/>
      <c r="AL591" s="58"/>
      <c r="AM591" s="58"/>
    </row>
    <row r="592" spans="2:39" ht="12.75">
      <c r="B592" s="58"/>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7"/>
      <c r="AB592" s="67"/>
      <c r="AC592" s="58"/>
      <c r="AD592" s="58"/>
      <c r="AE592" s="58"/>
      <c r="AF592" s="58"/>
      <c r="AG592" s="58"/>
      <c r="AH592" s="58"/>
      <c r="AI592" s="58"/>
      <c r="AJ592" s="58"/>
      <c r="AK592" s="58"/>
      <c r="AL592" s="58"/>
      <c r="AM592" s="58"/>
    </row>
    <row r="593" spans="2:39" ht="12.75">
      <c r="B593" s="58"/>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7"/>
      <c r="AB593" s="67"/>
      <c r="AC593" s="58"/>
      <c r="AD593" s="58"/>
      <c r="AE593" s="58"/>
      <c r="AF593" s="58"/>
      <c r="AG593" s="58"/>
      <c r="AH593" s="58"/>
      <c r="AI593" s="58"/>
      <c r="AJ593" s="58"/>
      <c r="AK593" s="58"/>
      <c r="AL593" s="58"/>
      <c r="AM593" s="58"/>
    </row>
    <row r="594" spans="2:39" ht="12.75">
      <c r="B594" s="58"/>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7"/>
      <c r="AB594" s="67"/>
      <c r="AC594" s="58"/>
      <c r="AD594" s="58"/>
      <c r="AE594" s="58"/>
      <c r="AF594" s="58"/>
      <c r="AG594" s="58"/>
      <c r="AH594" s="58"/>
      <c r="AI594" s="58"/>
      <c r="AJ594" s="58"/>
      <c r="AK594" s="58"/>
      <c r="AL594" s="58"/>
      <c r="AM594" s="58"/>
    </row>
    <row r="595" spans="2:39" ht="12.75">
      <c r="B595" s="58"/>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7"/>
      <c r="AB595" s="67"/>
      <c r="AC595" s="58"/>
      <c r="AD595" s="58"/>
      <c r="AE595" s="58"/>
      <c r="AF595" s="58"/>
      <c r="AG595" s="58"/>
      <c r="AH595" s="58"/>
      <c r="AI595" s="58"/>
      <c r="AJ595" s="58"/>
      <c r="AK595" s="58"/>
      <c r="AL595" s="58"/>
      <c r="AM595" s="58"/>
    </row>
    <row r="596" spans="2:39" ht="12.75">
      <c r="B596" s="58"/>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7"/>
      <c r="AB596" s="67"/>
      <c r="AC596" s="58"/>
      <c r="AD596" s="58"/>
      <c r="AE596" s="58"/>
      <c r="AF596" s="58"/>
      <c r="AG596" s="58"/>
      <c r="AH596" s="58"/>
      <c r="AI596" s="58"/>
      <c r="AJ596" s="58"/>
      <c r="AK596" s="58"/>
      <c r="AL596" s="58"/>
      <c r="AM596" s="58"/>
    </row>
    <row r="597" spans="2:39" ht="12.75">
      <c r="B597" s="58"/>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7"/>
      <c r="AB597" s="67"/>
      <c r="AC597" s="58"/>
      <c r="AD597" s="58"/>
      <c r="AE597" s="58"/>
      <c r="AF597" s="58"/>
      <c r="AG597" s="58"/>
      <c r="AH597" s="58"/>
      <c r="AI597" s="58"/>
      <c r="AJ597" s="58"/>
      <c r="AK597" s="58"/>
      <c r="AL597" s="58"/>
      <c r="AM597" s="58"/>
    </row>
    <row r="598" spans="2:39" ht="12.75">
      <c r="B598" s="58"/>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7"/>
      <c r="AB598" s="67"/>
      <c r="AC598" s="58"/>
      <c r="AD598" s="58"/>
      <c r="AE598" s="58"/>
      <c r="AF598" s="58"/>
      <c r="AG598" s="58"/>
      <c r="AH598" s="58"/>
      <c r="AI598" s="58"/>
      <c r="AJ598" s="58"/>
      <c r="AK598" s="58"/>
      <c r="AL598" s="58"/>
      <c r="AM598" s="58"/>
    </row>
    <row r="599" spans="2:39" ht="12.75">
      <c r="B599" s="58"/>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7"/>
      <c r="AB599" s="67"/>
      <c r="AC599" s="58"/>
      <c r="AD599" s="58"/>
      <c r="AE599" s="58"/>
      <c r="AF599" s="58"/>
      <c r="AG599" s="58"/>
      <c r="AH599" s="58"/>
      <c r="AI599" s="58"/>
      <c r="AJ599" s="58"/>
      <c r="AK599" s="58"/>
      <c r="AL599" s="58"/>
      <c r="AM599" s="58"/>
    </row>
    <row r="600" spans="2:39" ht="12.75">
      <c r="B600" s="58"/>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7"/>
      <c r="AB600" s="67"/>
      <c r="AC600" s="58"/>
      <c r="AD600" s="58"/>
      <c r="AE600" s="58"/>
      <c r="AF600" s="58"/>
      <c r="AG600" s="58"/>
      <c r="AH600" s="58"/>
      <c r="AI600" s="58"/>
      <c r="AJ600" s="58"/>
      <c r="AK600" s="58"/>
      <c r="AL600" s="58"/>
      <c r="AM600" s="58"/>
    </row>
    <row r="601" spans="2:39" ht="12.75">
      <c r="B601" s="58"/>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7"/>
      <c r="AB601" s="67"/>
      <c r="AC601" s="58"/>
      <c r="AD601" s="58"/>
      <c r="AE601" s="58"/>
      <c r="AF601" s="58"/>
      <c r="AG601" s="58"/>
      <c r="AH601" s="58"/>
      <c r="AI601" s="58"/>
      <c r="AJ601" s="58"/>
      <c r="AK601" s="58"/>
      <c r="AL601" s="58"/>
      <c r="AM601" s="58"/>
    </row>
    <row r="602" spans="2:39" ht="12.75">
      <c r="B602" s="58"/>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7"/>
      <c r="AB602" s="67"/>
      <c r="AC602" s="58"/>
      <c r="AD602" s="58"/>
      <c r="AE602" s="58"/>
      <c r="AF602" s="58"/>
      <c r="AG602" s="58"/>
      <c r="AH602" s="58"/>
      <c r="AI602" s="58"/>
      <c r="AJ602" s="58"/>
      <c r="AK602" s="58"/>
      <c r="AL602" s="58"/>
      <c r="AM602" s="58"/>
    </row>
    <row r="603" spans="2:39" ht="12.75">
      <c r="B603" s="58"/>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7"/>
      <c r="AB603" s="67"/>
      <c r="AC603" s="58"/>
      <c r="AD603" s="58"/>
      <c r="AE603" s="58"/>
      <c r="AF603" s="58"/>
      <c r="AG603" s="58"/>
      <c r="AH603" s="58"/>
      <c r="AI603" s="58"/>
      <c r="AJ603" s="58"/>
      <c r="AK603" s="58"/>
      <c r="AL603" s="58"/>
      <c r="AM603" s="58"/>
    </row>
    <row r="604" spans="2:39" ht="12.75">
      <c r="B604" s="58"/>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7"/>
      <c r="AB604" s="67"/>
      <c r="AC604" s="58"/>
      <c r="AD604" s="58"/>
      <c r="AE604" s="58"/>
      <c r="AF604" s="58"/>
      <c r="AG604" s="58"/>
      <c r="AH604" s="58"/>
      <c r="AI604" s="58"/>
      <c r="AJ604" s="58"/>
      <c r="AK604" s="58"/>
      <c r="AL604" s="58"/>
      <c r="AM604" s="58"/>
    </row>
    <row r="605" spans="2:39" ht="12.75">
      <c r="B605" s="58"/>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7"/>
      <c r="AB605" s="67"/>
      <c r="AC605" s="58"/>
      <c r="AD605" s="58"/>
      <c r="AE605" s="58"/>
      <c r="AF605" s="58"/>
      <c r="AG605" s="58"/>
      <c r="AH605" s="58"/>
      <c r="AI605" s="58"/>
      <c r="AJ605" s="58"/>
      <c r="AK605" s="58"/>
      <c r="AL605" s="58"/>
      <c r="AM605" s="58"/>
    </row>
    <row r="606" spans="2:39" ht="12.75">
      <c r="B606" s="58"/>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7"/>
      <c r="AB606" s="67"/>
      <c r="AC606" s="58"/>
      <c r="AD606" s="58"/>
      <c r="AE606" s="58"/>
      <c r="AF606" s="58"/>
      <c r="AG606" s="58"/>
      <c r="AH606" s="58"/>
      <c r="AI606" s="58"/>
      <c r="AJ606" s="58"/>
      <c r="AK606" s="58"/>
      <c r="AL606" s="58"/>
      <c r="AM606" s="58"/>
    </row>
    <row r="607" spans="2:39" ht="12.75">
      <c r="B607" s="58"/>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7"/>
      <c r="AB607" s="67"/>
      <c r="AC607" s="58"/>
      <c r="AD607" s="58"/>
      <c r="AE607" s="58"/>
      <c r="AF607" s="58"/>
      <c r="AG607" s="58"/>
      <c r="AH607" s="58"/>
      <c r="AI607" s="58"/>
      <c r="AJ607" s="58"/>
      <c r="AK607" s="58"/>
      <c r="AL607" s="58"/>
      <c r="AM607" s="58"/>
    </row>
    <row r="608" spans="2:39" ht="12.75">
      <c r="B608" s="58"/>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7"/>
      <c r="AB608" s="67"/>
      <c r="AC608" s="58"/>
      <c r="AD608" s="58"/>
      <c r="AE608" s="58"/>
      <c r="AF608" s="58"/>
      <c r="AG608" s="58"/>
      <c r="AH608" s="58"/>
      <c r="AI608" s="58"/>
      <c r="AJ608" s="58"/>
      <c r="AK608" s="58"/>
      <c r="AL608" s="58"/>
      <c r="AM608" s="58"/>
    </row>
    <row r="609" spans="2:39" ht="12.75">
      <c r="B609" s="58"/>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7"/>
      <c r="AB609" s="67"/>
      <c r="AC609" s="58"/>
      <c r="AD609" s="58"/>
      <c r="AE609" s="58"/>
      <c r="AF609" s="58"/>
      <c r="AG609" s="58"/>
      <c r="AH609" s="58"/>
      <c r="AI609" s="58"/>
      <c r="AJ609" s="58"/>
      <c r="AK609" s="58"/>
      <c r="AL609" s="58"/>
      <c r="AM609" s="58"/>
    </row>
    <row r="610" spans="2:39" ht="12.75">
      <c r="B610" s="58"/>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7"/>
      <c r="AB610" s="67"/>
      <c r="AC610" s="58"/>
      <c r="AD610" s="58"/>
      <c r="AE610" s="58"/>
      <c r="AF610" s="58"/>
      <c r="AG610" s="58"/>
      <c r="AH610" s="58"/>
      <c r="AI610" s="58"/>
      <c r="AJ610" s="58"/>
      <c r="AK610" s="58"/>
      <c r="AL610" s="58"/>
      <c r="AM610" s="58"/>
    </row>
    <row r="611" spans="2:39" ht="12.75">
      <c r="B611" s="58"/>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7"/>
      <c r="AB611" s="67"/>
      <c r="AC611" s="58"/>
      <c r="AD611" s="58"/>
      <c r="AE611" s="58"/>
      <c r="AF611" s="58"/>
      <c r="AG611" s="58"/>
      <c r="AH611" s="58"/>
      <c r="AI611" s="58"/>
      <c r="AJ611" s="58"/>
      <c r="AK611" s="58"/>
      <c r="AL611" s="58"/>
      <c r="AM611" s="58"/>
    </row>
    <row r="612" spans="2:39" ht="12.75">
      <c r="B612" s="58"/>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7"/>
      <c r="AB612" s="67"/>
      <c r="AC612" s="58"/>
      <c r="AD612" s="58"/>
      <c r="AE612" s="58"/>
      <c r="AF612" s="58"/>
      <c r="AG612" s="58"/>
      <c r="AH612" s="58"/>
      <c r="AI612" s="58"/>
      <c r="AJ612" s="58"/>
      <c r="AK612" s="58"/>
      <c r="AL612" s="58"/>
      <c r="AM612" s="58"/>
    </row>
    <row r="613" spans="2:39" ht="12.75">
      <c r="B613" s="58"/>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7"/>
      <c r="AB613" s="67"/>
      <c r="AC613" s="58"/>
      <c r="AD613" s="58"/>
      <c r="AE613" s="58"/>
      <c r="AF613" s="58"/>
      <c r="AG613" s="58"/>
      <c r="AH613" s="58"/>
      <c r="AI613" s="58"/>
      <c r="AJ613" s="58"/>
      <c r="AK613" s="58"/>
      <c r="AL613" s="58"/>
      <c r="AM613" s="58"/>
    </row>
    <row r="614" spans="2:39" ht="12.75">
      <c r="B614" s="58"/>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7"/>
      <c r="AB614" s="67"/>
      <c r="AC614" s="58"/>
      <c r="AD614" s="58"/>
      <c r="AE614" s="58"/>
      <c r="AF614" s="58"/>
      <c r="AG614" s="58"/>
      <c r="AH614" s="58"/>
      <c r="AI614" s="58"/>
      <c r="AJ614" s="58"/>
      <c r="AK614" s="58"/>
      <c r="AL614" s="58"/>
      <c r="AM614" s="58"/>
    </row>
    <row r="615" spans="2:39" ht="12.75">
      <c r="B615" s="58"/>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7"/>
      <c r="AB615" s="67"/>
      <c r="AC615" s="58"/>
      <c r="AD615" s="58"/>
      <c r="AE615" s="58"/>
      <c r="AF615" s="58"/>
      <c r="AG615" s="58"/>
      <c r="AH615" s="58"/>
      <c r="AI615" s="58"/>
      <c r="AJ615" s="58"/>
      <c r="AK615" s="58"/>
      <c r="AL615" s="58"/>
      <c r="AM615" s="58"/>
    </row>
    <row r="616" spans="2:39" ht="12.75">
      <c r="B616" s="58"/>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7"/>
      <c r="AB616" s="67"/>
      <c r="AC616" s="58"/>
      <c r="AD616" s="58"/>
      <c r="AE616" s="58"/>
      <c r="AF616" s="58"/>
      <c r="AG616" s="58"/>
      <c r="AH616" s="58"/>
      <c r="AI616" s="58"/>
      <c r="AJ616" s="58"/>
      <c r="AK616" s="58"/>
      <c r="AL616" s="58"/>
      <c r="AM616" s="58"/>
    </row>
    <row r="617" spans="2:39" ht="12.75">
      <c r="B617" s="58"/>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7"/>
      <c r="AB617" s="67"/>
      <c r="AC617" s="58"/>
      <c r="AD617" s="58"/>
      <c r="AE617" s="58"/>
      <c r="AF617" s="58"/>
      <c r="AG617" s="58"/>
      <c r="AH617" s="58"/>
      <c r="AI617" s="58"/>
      <c r="AJ617" s="58"/>
      <c r="AK617" s="58"/>
      <c r="AL617" s="58"/>
      <c r="AM617" s="58"/>
    </row>
    <row r="618" spans="2:39" ht="12.75">
      <c r="B618" s="58"/>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7"/>
      <c r="AB618" s="67"/>
      <c r="AC618" s="58"/>
      <c r="AD618" s="58"/>
      <c r="AE618" s="58"/>
      <c r="AF618" s="58"/>
      <c r="AG618" s="58"/>
      <c r="AH618" s="58"/>
      <c r="AI618" s="58"/>
      <c r="AJ618" s="58"/>
      <c r="AK618" s="58"/>
      <c r="AL618" s="58"/>
      <c r="AM618" s="58"/>
    </row>
    <row r="619" spans="2:39" ht="12.75">
      <c r="B619" s="58"/>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7"/>
      <c r="AB619" s="67"/>
      <c r="AC619" s="58"/>
      <c r="AD619" s="58"/>
      <c r="AE619" s="58"/>
      <c r="AF619" s="58"/>
      <c r="AG619" s="58"/>
      <c r="AH619" s="58"/>
      <c r="AI619" s="58"/>
      <c r="AJ619" s="58"/>
      <c r="AK619" s="58"/>
      <c r="AL619" s="58"/>
      <c r="AM619" s="58"/>
    </row>
    <row r="620" spans="2:39" ht="12.75">
      <c r="B620" s="58"/>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7"/>
      <c r="AB620" s="67"/>
      <c r="AC620" s="58"/>
      <c r="AD620" s="58"/>
      <c r="AE620" s="58"/>
      <c r="AF620" s="58"/>
      <c r="AG620" s="58"/>
      <c r="AH620" s="58"/>
      <c r="AI620" s="58"/>
      <c r="AJ620" s="58"/>
      <c r="AK620" s="58"/>
      <c r="AL620" s="58"/>
      <c r="AM620" s="58"/>
    </row>
    <row r="621" spans="2:39" ht="12.75">
      <c r="B621" s="58"/>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7"/>
      <c r="AB621" s="67"/>
      <c r="AC621" s="58"/>
      <c r="AD621" s="58"/>
      <c r="AE621" s="58"/>
      <c r="AF621" s="58"/>
      <c r="AG621" s="58"/>
      <c r="AH621" s="58"/>
      <c r="AI621" s="58"/>
      <c r="AJ621" s="58"/>
      <c r="AK621" s="58"/>
      <c r="AL621" s="58"/>
      <c r="AM621" s="58"/>
    </row>
    <row r="622" spans="2:39" ht="12.75">
      <c r="B622" s="58"/>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7"/>
      <c r="AB622" s="67"/>
      <c r="AC622" s="58"/>
      <c r="AD622" s="58"/>
      <c r="AE622" s="58"/>
      <c r="AF622" s="58"/>
      <c r="AG622" s="58"/>
      <c r="AH622" s="58"/>
      <c r="AI622" s="58"/>
      <c r="AJ622" s="58"/>
      <c r="AK622" s="58"/>
      <c r="AL622" s="58"/>
      <c r="AM622" s="58"/>
    </row>
    <row r="623" spans="2:39" ht="12.75">
      <c r="B623" s="58"/>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7"/>
      <c r="AB623" s="67"/>
      <c r="AC623" s="58"/>
      <c r="AD623" s="58"/>
      <c r="AE623" s="58"/>
      <c r="AF623" s="58"/>
      <c r="AG623" s="58"/>
      <c r="AH623" s="58"/>
      <c r="AI623" s="58"/>
      <c r="AJ623" s="58"/>
      <c r="AK623" s="58"/>
      <c r="AL623" s="58"/>
      <c r="AM623" s="58"/>
    </row>
    <row r="624" spans="2:39" ht="12.75">
      <c r="B624" s="58"/>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7"/>
      <c r="AB624" s="67"/>
      <c r="AC624" s="58"/>
      <c r="AD624" s="58"/>
      <c r="AE624" s="58"/>
      <c r="AF624" s="58"/>
      <c r="AG624" s="58"/>
      <c r="AH624" s="58"/>
      <c r="AI624" s="58"/>
      <c r="AJ624" s="58"/>
      <c r="AK624" s="58"/>
      <c r="AL624" s="58"/>
      <c r="AM624" s="58"/>
    </row>
    <row r="625" spans="2:39" ht="12.75">
      <c r="B625" s="58"/>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7"/>
      <c r="AB625" s="67"/>
      <c r="AC625" s="58"/>
      <c r="AD625" s="58"/>
      <c r="AE625" s="58"/>
      <c r="AF625" s="58"/>
      <c r="AG625" s="58"/>
      <c r="AH625" s="58"/>
      <c r="AI625" s="58"/>
      <c r="AJ625" s="58"/>
      <c r="AK625" s="58"/>
      <c r="AL625" s="58"/>
      <c r="AM625" s="58"/>
    </row>
    <row r="626" spans="2:39" ht="12.75">
      <c r="B626" s="58"/>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7"/>
      <c r="AB626" s="67"/>
      <c r="AC626" s="58"/>
      <c r="AD626" s="58"/>
      <c r="AE626" s="58"/>
      <c r="AF626" s="58"/>
      <c r="AG626" s="58"/>
      <c r="AH626" s="58"/>
      <c r="AI626" s="58"/>
      <c r="AJ626" s="58"/>
      <c r="AK626" s="58"/>
      <c r="AL626" s="58"/>
      <c r="AM626" s="58"/>
    </row>
    <row r="627" spans="2:39" ht="12.75">
      <c r="B627" s="58"/>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7"/>
      <c r="AB627" s="67"/>
      <c r="AC627" s="58"/>
      <c r="AD627" s="58"/>
      <c r="AE627" s="58"/>
      <c r="AF627" s="58"/>
      <c r="AG627" s="58"/>
      <c r="AH627" s="58"/>
      <c r="AI627" s="58"/>
      <c r="AJ627" s="58"/>
      <c r="AK627" s="58"/>
      <c r="AL627" s="58"/>
      <c r="AM627" s="58"/>
    </row>
    <row r="628" spans="2:39" ht="12.75">
      <c r="B628" s="58"/>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7"/>
      <c r="AB628" s="67"/>
      <c r="AC628" s="58"/>
      <c r="AD628" s="58"/>
      <c r="AE628" s="58"/>
      <c r="AF628" s="58"/>
      <c r="AG628" s="58"/>
      <c r="AH628" s="58"/>
      <c r="AI628" s="58"/>
      <c r="AJ628" s="58"/>
      <c r="AK628" s="58"/>
      <c r="AL628" s="58"/>
      <c r="AM628" s="58"/>
    </row>
    <row r="629" spans="2:39" ht="12.75">
      <c r="B629" s="58"/>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7"/>
      <c r="AB629" s="67"/>
      <c r="AC629" s="58"/>
      <c r="AD629" s="58"/>
      <c r="AE629" s="58"/>
      <c r="AF629" s="58"/>
      <c r="AG629" s="58"/>
      <c r="AH629" s="58"/>
      <c r="AI629" s="58"/>
      <c r="AJ629" s="58"/>
      <c r="AK629" s="58"/>
      <c r="AL629" s="58"/>
      <c r="AM629" s="58"/>
    </row>
    <row r="630" spans="2:39" ht="12.75">
      <c r="B630" s="58"/>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7"/>
      <c r="AB630" s="67"/>
      <c r="AC630" s="58"/>
      <c r="AD630" s="58"/>
      <c r="AE630" s="58"/>
      <c r="AF630" s="58"/>
      <c r="AG630" s="58"/>
      <c r="AH630" s="58"/>
      <c r="AI630" s="58"/>
      <c r="AJ630" s="58"/>
      <c r="AK630" s="58"/>
      <c r="AL630" s="58"/>
      <c r="AM630" s="58"/>
    </row>
    <row r="631" spans="2:39" ht="12.75">
      <c r="B631" s="58"/>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7"/>
      <c r="AB631" s="67"/>
      <c r="AC631" s="58"/>
      <c r="AD631" s="58"/>
      <c r="AE631" s="58"/>
      <c r="AF631" s="58"/>
      <c r="AG631" s="58"/>
      <c r="AH631" s="58"/>
      <c r="AI631" s="58"/>
      <c r="AJ631" s="58"/>
      <c r="AK631" s="58"/>
      <c r="AL631" s="58"/>
      <c r="AM631" s="58"/>
    </row>
    <row r="632" spans="2:39" ht="12.75">
      <c r="B632" s="58"/>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7"/>
      <c r="AB632" s="67"/>
      <c r="AC632" s="58"/>
      <c r="AD632" s="58"/>
      <c r="AE632" s="58"/>
      <c r="AF632" s="58"/>
      <c r="AG632" s="58"/>
      <c r="AH632" s="58"/>
      <c r="AI632" s="58"/>
      <c r="AJ632" s="58"/>
      <c r="AK632" s="58"/>
      <c r="AL632" s="58"/>
      <c r="AM632" s="58"/>
    </row>
    <row r="633" spans="2:39" ht="12.75">
      <c r="B633" s="58"/>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7"/>
      <c r="AB633" s="67"/>
      <c r="AC633" s="58"/>
      <c r="AD633" s="58"/>
      <c r="AE633" s="58"/>
      <c r="AF633" s="58"/>
      <c r="AG633" s="58"/>
      <c r="AH633" s="58"/>
      <c r="AI633" s="58"/>
      <c r="AJ633" s="58"/>
      <c r="AK633" s="58"/>
      <c r="AL633" s="58"/>
      <c r="AM633" s="58"/>
    </row>
    <row r="634" spans="2:39" ht="12.75">
      <c r="B634" s="58"/>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7"/>
      <c r="AB634" s="67"/>
      <c r="AC634" s="58"/>
      <c r="AD634" s="58"/>
      <c r="AE634" s="58"/>
      <c r="AF634" s="58"/>
      <c r="AG634" s="58"/>
      <c r="AH634" s="58"/>
      <c r="AI634" s="58"/>
      <c r="AJ634" s="58"/>
      <c r="AK634" s="58"/>
      <c r="AL634" s="58"/>
      <c r="AM634" s="58"/>
    </row>
    <row r="635" spans="2:39" ht="12.75">
      <c r="B635" s="58"/>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7"/>
      <c r="AB635" s="67"/>
      <c r="AC635" s="58"/>
      <c r="AD635" s="58"/>
      <c r="AE635" s="58"/>
      <c r="AF635" s="58"/>
      <c r="AG635" s="58"/>
      <c r="AH635" s="58"/>
      <c r="AI635" s="58"/>
      <c r="AJ635" s="58"/>
      <c r="AK635" s="58"/>
      <c r="AL635" s="58"/>
      <c r="AM635" s="58"/>
    </row>
    <row r="636" spans="2:39" ht="12.75">
      <c r="B636" s="58"/>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7"/>
      <c r="AB636" s="67"/>
      <c r="AC636" s="58"/>
      <c r="AD636" s="58"/>
      <c r="AE636" s="58"/>
      <c r="AF636" s="58"/>
      <c r="AG636" s="58"/>
      <c r="AH636" s="58"/>
      <c r="AI636" s="58"/>
      <c r="AJ636" s="58"/>
      <c r="AK636" s="58"/>
      <c r="AL636" s="58"/>
      <c r="AM636" s="58"/>
    </row>
    <row r="637" spans="2:39" ht="12.75">
      <c r="B637" s="58"/>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7"/>
      <c r="AB637" s="67"/>
      <c r="AC637" s="58"/>
      <c r="AD637" s="58"/>
      <c r="AE637" s="58"/>
      <c r="AF637" s="58"/>
      <c r="AG637" s="58"/>
      <c r="AH637" s="58"/>
      <c r="AI637" s="58"/>
      <c r="AJ637" s="58"/>
      <c r="AK637" s="58"/>
      <c r="AL637" s="58"/>
      <c r="AM637" s="58"/>
    </row>
    <row r="638" spans="2:39" ht="12.75">
      <c r="B638" s="58"/>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7"/>
      <c r="AB638" s="67"/>
      <c r="AC638" s="58"/>
      <c r="AD638" s="58"/>
      <c r="AE638" s="58"/>
      <c r="AF638" s="58"/>
      <c r="AG638" s="58"/>
      <c r="AH638" s="58"/>
      <c r="AI638" s="58"/>
      <c r="AJ638" s="58"/>
      <c r="AK638" s="58"/>
      <c r="AL638" s="58"/>
      <c r="AM638" s="58"/>
    </row>
    <row r="639" spans="2:39" ht="12.75">
      <c r="B639" s="58"/>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7"/>
      <c r="AB639" s="67"/>
      <c r="AC639" s="58"/>
      <c r="AD639" s="58"/>
      <c r="AE639" s="58"/>
      <c r="AF639" s="58"/>
      <c r="AG639" s="58"/>
      <c r="AH639" s="58"/>
      <c r="AI639" s="58"/>
      <c r="AJ639" s="58"/>
      <c r="AK639" s="58"/>
      <c r="AL639" s="58"/>
      <c r="AM639" s="58"/>
    </row>
    <row r="640" spans="2:39" ht="12.75">
      <c r="B640" s="58"/>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7"/>
      <c r="AB640" s="67"/>
      <c r="AC640" s="58"/>
      <c r="AD640" s="58"/>
      <c r="AE640" s="58"/>
      <c r="AF640" s="58"/>
      <c r="AG640" s="58"/>
      <c r="AH640" s="58"/>
      <c r="AI640" s="58"/>
      <c r="AJ640" s="58"/>
      <c r="AK640" s="58"/>
      <c r="AL640" s="58"/>
      <c r="AM640" s="58"/>
    </row>
    <row r="641" spans="2:39" ht="12.75">
      <c r="B641" s="58"/>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7"/>
      <c r="AB641" s="67"/>
      <c r="AC641" s="58"/>
      <c r="AD641" s="58"/>
      <c r="AE641" s="58"/>
      <c r="AF641" s="58"/>
      <c r="AG641" s="58"/>
      <c r="AH641" s="58"/>
      <c r="AI641" s="58"/>
      <c r="AJ641" s="58"/>
      <c r="AK641" s="58"/>
      <c r="AL641" s="58"/>
      <c r="AM641" s="58"/>
    </row>
    <row r="642" spans="2:39" ht="12.75">
      <c r="B642" s="58"/>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7"/>
      <c r="AB642" s="67"/>
      <c r="AC642" s="58"/>
      <c r="AD642" s="58"/>
      <c r="AE642" s="58"/>
      <c r="AF642" s="58"/>
      <c r="AG642" s="58"/>
      <c r="AH642" s="58"/>
      <c r="AI642" s="58"/>
      <c r="AJ642" s="58"/>
      <c r="AK642" s="58"/>
      <c r="AL642" s="58"/>
      <c r="AM642" s="58"/>
    </row>
    <row r="643" spans="2:39" ht="12.75">
      <c r="B643" s="58"/>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7"/>
      <c r="AB643" s="67"/>
      <c r="AC643" s="58"/>
      <c r="AD643" s="58"/>
      <c r="AE643" s="58"/>
      <c r="AF643" s="58"/>
      <c r="AG643" s="58"/>
      <c r="AH643" s="58"/>
      <c r="AI643" s="58"/>
      <c r="AJ643" s="58"/>
      <c r="AK643" s="58"/>
      <c r="AL643" s="58"/>
      <c r="AM643" s="58"/>
    </row>
    <row r="644" spans="2:39" ht="12.75">
      <c r="B644" s="58"/>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7"/>
      <c r="AB644" s="67"/>
      <c r="AC644" s="58"/>
      <c r="AD644" s="58"/>
      <c r="AE644" s="58"/>
      <c r="AF644" s="58"/>
      <c r="AG644" s="58"/>
      <c r="AH644" s="58"/>
      <c r="AI644" s="58"/>
      <c r="AJ644" s="58"/>
      <c r="AK644" s="58"/>
      <c r="AL644" s="58"/>
      <c r="AM644" s="58"/>
    </row>
    <row r="645" spans="2:39" ht="12.75">
      <c r="B645" s="58"/>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7"/>
      <c r="AB645" s="67"/>
      <c r="AC645" s="58"/>
      <c r="AD645" s="58"/>
      <c r="AE645" s="58"/>
      <c r="AF645" s="58"/>
      <c r="AG645" s="58"/>
      <c r="AH645" s="58"/>
      <c r="AI645" s="58"/>
      <c r="AJ645" s="58"/>
      <c r="AK645" s="58"/>
      <c r="AL645" s="58"/>
      <c r="AM645" s="58"/>
    </row>
    <row r="646" spans="2:39" ht="12.75">
      <c r="B646" s="58"/>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7"/>
      <c r="AB646" s="67"/>
      <c r="AC646" s="58"/>
      <c r="AD646" s="58"/>
      <c r="AE646" s="58"/>
      <c r="AF646" s="58"/>
      <c r="AG646" s="58"/>
      <c r="AH646" s="58"/>
      <c r="AI646" s="58"/>
      <c r="AJ646" s="58"/>
      <c r="AK646" s="58"/>
      <c r="AL646" s="58"/>
      <c r="AM646" s="58"/>
    </row>
    <row r="647" spans="2:39" ht="12.75">
      <c r="B647" s="58"/>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7"/>
      <c r="AB647" s="67"/>
      <c r="AC647" s="58"/>
      <c r="AD647" s="58"/>
      <c r="AE647" s="58"/>
      <c r="AF647" s="58"/>
      <c r="AG647" s="58"/>
      <c r="AH647" s="58"/>
      <c r="AI647" s="58"/>
      <c r="AJ647" s="58"/>
      <c r="AK647" s="58"/>
      <c r="AL647" s="58"/>
      <c r="AM647" s="58"/>
    </row>
    <row r="648" spans="2:39" ht="12.75">
      <c r="B648" s="58"/>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7"/>
      <c r="AB648" s="67"/>
      <c r="AC648" s="58"/>
      <c r="AD648" s="58"/>
      <c r="AE648" s="58"/>
      <c r="AF648" s="58"/>
      <c r="AG648" s="58"/>
      <c r="AH648" s="58"/>
      <c r="AI648" s="58"/>
      <c r="AJ648" s="58"/>
      <c r="AK648" s="58"/>
      <c r="AL648" s="58"/>
      <c r="AM648" s="58"/>
    </row>
    <row r="649" spans="2:39" ht="12.75">
      <c r="B649" s="58"/>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7"/>
      <c r="AB649" s="67"/>
      <c r="AC649" s="58"/>
      <c r="AD649" s="58"/>
      <c r="AE649" s="58"/>
      <c r="AF649" s="58"/>
      <c r="AG649" s="58"/>
      <c r="AH649" s="58"/>
      <c r="AI649" s="58"/>
      <c r="AJ649" s="58"/>
      <c r="AK649" s="58"/>
      <c r="AL649" s="58"/>
      <c r="AM649" s="58"/>
    </row>
    <row r="650" spans="2:39" ht="12.75">
      <c r="B650" s="58"/>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7"/>
      <c r="AB650" s="67"/>
      <c r="AC650" s="58"/>
      <c r="AD650" s="58"/>
      <c r="AE650" s="58"/>
      <c r="AF650" s="58"/>
      <c r="AG650" s="58"/>
      <c r="AH650" s="58"/>
      <c r="AI650" s="58"/>
      <c r="AJ650" s="58"/>
      <c r="AK650" s="58"/>
      <c r="AL650" s="58"/>
      <c r="AM650" s="58"/>
    </row>
    <row r="651" spans="2:39" ht="12.75">
      <c r="B651" s="58"/>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7"/>
      <c r="AB651" s="67"/>
      <c r="AC651" s="58"/>
      <c r="AD651" s="58"/>
      <c r="AE651" s="58"/>
      <c r="AF651" s="58"/>
      <c r="AG651" s="58"/>
      <c r="AH651" s="58"/>
      <c r="AI651" s="58"/>
      <c r="AJ651" s="58"/>
      <c r="AK651" s="58"/>
      <c r="AL651" s="58"/>
      <c r="AM651" s="58"/>
    </row>
    <row r="652" spans="2:39" ht="12.75">
      <c r="B652" s="58"/>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7"/>
      <c r="AB652" s="67"/>
      <c r="AC652" s="58"/>
      <c r="AD652" s="58"/>
      <c r="AE652" s="58"/>
      <c r="AF652" s="58"/>
      <c r="AG652" s="58"/>
      <c r="AH652" s="58"/>
      <c r="AI652" s="58"/>
      <c r="AJ652" s="58"/>
      <c r="AK652" s="58"/>
      <c r="AL652" s="58"/>
      <c r="AM652" s="58"/>
    </row>
    <row r="653" spans="2:39" ht="12.75">
      <c r="B653" s="58"/>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7"/>
      <c r="AB653" s="67"/>
      <c r="AC653" s="58"/>
      <c r="AD653" s="58"/>
      <c r="AE653" s="58"/>
      <c r="AF653" s="58"/>
      <c r="AG653" s="58"/>
      <c r="AH653" s="58"/>
      <c r="AI653" s="58"/>
      <c r="AJ653" s="58"/>
      <c r="AK653" s="58"/>
      <c r="AL653" s="58"/>
      <c r="AM653" s="58"/>
    </row>
    <row r="654" spans="2:39" ht="12.75">
      <c r="B654" s="58"/>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7"/>
      <c r="AB654" s="67"/>
      <c r="AC654" s="58"/>
      <c r="AD654" s="58"/>
      <c r="AE654" s="58"/>
      <c r="AF654" s="58"/>
      <c r="AG654" s="58"/>
      <c r="AH654" s="58"/>
      <c r="AI654" s="58"/>
      <c r="AJ654" s="58"/>
      <c r="AK654" s="58"/>
      <c r="AL654" s="58"/>
      <c r="AM654" s="58"/>
    </row>
    <row r="655" spans="2:39" ht="12.75">
      <c r="B655" s="58"/>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7"/>
      <c r="AB655" s="67"/>
      <c r="AC655" s="58"/>
      <c r="AD655" s="58"/>
      <c r="AE655" s="58"/>
      <c r="AF655" s="58"/>
      <c r="AG655" s="58"/>
      <c r="AH655" s="58"/>
      <c r="AI655" s="58"/>
      <c r="AJ655" s="58"/>
      <c r="AK655" s="58"/>
      <c r="AL655" s="58"/>
      <c r="AM655" s="58"/>
    </row>
    <row r="656" spans="2:39" ht="12.75">
      <c r="B656" s="58"/>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7"/>
      <c r="AB656" s="67"/>
      <c r="AC656" s="58"/>
      <c r="AD656" s="58"/>
      <c r="AE656" s="58"/>
      <c r="AF656" s="58"/>
      <c r="AG656" s="58"/>
      <c r="AH656" s="58"/>
      <c r="AI656" s="58"/>
      <c r="AJ656" s="58"/>
      <c r="AK656" s="58"/>
      <c r="AL656" s="58"/>
      <c r="AM656" s="58"/>
    </row>
    <row r="657" spans="2:39" ht="12.75">
      <c r="B657" s="58"/>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7"/>
      <c r="AB657" s="67"/>
      <c r="AC657" s="58"/>
      <c r="AD657" s="58"/>
      <c r="AE657" s="58"/>
      <c r="AF657" s="58"/>
      <c r="AG657" s="58"/>
      <c r="AH657" s="58"/>
      <c r="AI657" s="58"/>
      <c r="AJ657" s="58"/>
      <c r="AK657" s="58"/>
      <c r="AL657" s="58"/>
      <c r="AM657" s="58"/>
    </row>
    <row r="658" spans="2:39" ht="12.75">
      <c r="B658" s="58"/>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7"/>
      <c r="AB658" s="67"/>
      <c r="AC658" s="58"/>
      <c r="AD658" s="58"/>
      <c r="AE658" s="58"/>
      <c r="AF658" s="58"/>
      <c r="AG658" s="58"/>
      <c r="AH658" s="58"/>
      <c r="AI658" s="58"/>
      <c r="AJ658" s="58"/>
      <c r="AK658" s="58"/>
      <c r="AL658" s="58"/>
      <c r="AM658" s="58"/>
    </row>
    <row r="659" spans="2:39" ht="12.75">
      <c r="B659" s="58"/>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7"/>
      <c r="AB659" s="67"/>
      <c r="AC659" s="58"/>
      <c r="AD659" s="58"/>
      <c r="AE659" s="58"/>
      <c r="AF659" s="58"/>
      <c r="AG659" s="58"/>
      <c r="AH659" s="58"/>
      <c r="AI659" s="58"/>
      <c r="AJ659" s="58"/>
      <c r="AK659" s="58"/>
      <c r="AL659" s="58"/>
      <c r="AM659" s="58"/>
    </row>
    <row r="660" spans="2:39" ht="12.75">
      <c r="B660" s="58"/>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7"/>
      <c r="AB660" s="67"/>
      <c r="AC660" s="58"/>
      <c r="AD660" s="58"/>
      <c r="AE660" s="58"/>
      <c r="AF660" s="58"/>
      <c r="AG660" s="58"/>
      <c r="AH660" s="58"/>
      <c r="AI660" s="58"/>
      <c r="AJ660" s="58"/>
      <c r="AK660" s="58"/>
      <c r="AL660" s="58"/>
      <c r="AM660" s="58"/>
    </row>
    <row r="661" spans="2:39" ht="12.75">
      <c r="B661" s="58"/>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7"/>
      <c r="AB661" s="67"/>
      <c r="AC661" s="58"/>
      <c r="AD661" s="58"/>
      <c r="AE661" s="58"/>
      <c r="AF661" s="58"/>
      <c r="AG661" s="58"/>
      <c r="AH661" s="58"/>
      <c r="AI661" s="58"/>
      <c r="AJ661" s="58"/>
      <c r="AK661" s="58"/>
      <c r="AL661" s="58"/>
      <c r="AM661" s="58"/>
    </row>
    <row r="662" spans="2:39" ht="12.75">
      <c r="B662" s="58"/>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7"/>
      <c r="AB662" s="67"/>
      <c r="AC662" s="58"/>
      <c r="AD662" s="58"/>
      <c r="AE662" s="58"/>
      <c r="AF662" s="58"/>
      <c r="AG662" s="58"/>
      <c r="AH662" s="58"/>
      <c r="AI662" s="58"/>
      <c r="AJ662" s="58"/>
      <c r="AK662" s="58"/>
      <c r="AL662" s="58"/>
      <c r="AM662" s="58"/>
    </row>
    <row r="663" spans="2:39" ht="12.75">
      <c r="B663" s="58"/>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7"/>
      <c r="AB663" s="67"/>
      <c r="AC663" s="58"/>
      <c r="AD663" s="58"/>
      <c r="AE663" s="58"/>
      <c r="AF663" s="58"/>
      <c r="AG663" s="58"/>
      <c r="AH663" s="58"/>
      <c r="AI663" s="58"/>
      <c r="AJ663" s="58"/>
      <c r="AK663" s="58"/>
      <c r="AL663" s="58"/>
      <c r="AM663" s="58"/>
    </row>
    <row r="664" spans="2:39" ht="12.75">
      <c r="B664" s="58"/>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7"/>
      <c r="AB664" s="67"/>
      <c r="AC664" s="58"/>
      <c r="AD664" s="58"/>
      <c r="AE664" s="58"/>
      <c r="AF664" s="58"/>
      <c r="AG664" s="58"/>
      <c r="AH664" s="58"/>
      <c r="AI664" s="58"/>
      <c r="AJ664" s="58"/>
      <c r="AK664" s="58"/>
      <c r="AL664" s="58"/>
      <c r="AM664" s="58"/>
    </row>
    <row r="665" spans="2:39" ht="12.75">
      <c r="B665" s="58"/>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7"/>
      <c r="AB665" s="67"/>
      <c r="AC665" s="58"/>
      <c r="AD665" s="58"/>
      <c r="AE665" s="58"/>
      <c r="AF665" s="58"/>
      <c r="AG665" s="58"/>
      <c r="AH665" s="58"/>
      <c r="AI665" s="58"/>
      <c r="AJ665" s="58"/>
      <c r="AK665" s="58"/>
      <c r="AL665" s="58"/>
      <c r="AM665" s="58"/>
    </row>
    <row r="666" spans="2:39" ht="12.75">
      <c r="B666" s="58"/>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7"/>
      <c r="AB666" s="67"/>
      <c r="AC666" s="58"/>
      <c r="AD666" s="58"/>
      <c r="AE666" s="58"/>
      <c r="AF666" s="58"/>
      <c r="AG666" s="58"/>
      <c r="AH666" s="58"/>
      <c r="AI666" s="58"/>
      <c r="AJ666" s="58"/>
      <c r="AK666" s="58"/>
      <c r="AL666" s="58"/>
      <c r="AM666" s="58"/>
    </row>
    <row r="667" spans="2:39" ht="12.75">
      <c r="B667" s="58"/>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7"/>
      <c r="AB667" s="67"/>
      <c r="AC667" s="58"/>
      <c r="AD667" s="58"/>
      <c r="AE667" s="58"/>
      <c r="AF667" s="58"/>
      <c r="AG667" s="58"/>
      <c r="AH667" s="58"/>
      <c r="AI667" s="58"/>
      <c r="AJ667" s="58"/>
      <c r="AK667" s="58"/>
      <c r="AL667" s="58"/>
      <c r="AM667" s="58"/>
    </row>
    <row r="668" spans="2:39" ht="12.75">
      <c r="B668" s="58"/>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7"/>
      <c r="AB668" s="67"/>
      <c r="AC668" s="58"/>
      <c r="AD668" s="58"/>
      <c r="AE668" s="58"/>
      <c r="AF668" s="58"/>
      <c r="AG668" s="58"/>
      <c r="AH668" s="58"/>
      <c r="AI668" s="58"/>
      <c r="AJ668" s="58"/>
      <c r="AK668" s="58"/>
      <c r="AL668" s="58"/>
      <c r="AM668" s="58"/>
    </row>
    <row r="669" spans="2:39" ht="12.75">
      <c r="B669" s="58"/>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7"/>
      <c r="AB669" s="67"/>
      <c r="AC669" s="58"/>
      <c r="AD669" s="58"/>
      <c r="AE669" s="58"/>
      <c r="AF669" s="58"/>
      <c r="AG669" s="58"/>
      <c r="AH669" s="58"/>
      <c r="AI669" s="58"/>
      <c r="AJ669" s="58"/>
      <c r="AK669" s="58"/>
      <c r="AL669" s="58"/>
      <c r="AM669" s="58"/>
    </row>
    <row r="670" spans="2:39" ht="12.75">
      <c r="B670" s="58"/>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7"/>
      <c r="AB670" s="67"/>
      <c r="AC670" s="58"/>
      <c r="AD670" s="58"/>
      <c r="AE670" s="58"/>
      <c r="AF670" s="58"/>
      <c r="AG670" s="58"/>
      <c r="AH670" s="58"/>
      <c r="AI670" s="58"/>
      <c r="AJ670" s="58"/>
      <c r="AK670" s="58"/>
      <c r="AL670" s="58"/>
      <c r="AM670" s="58"/>
    </row>
    <row r="671" spans="2:39" ht="12.75">
      <c r="B671" s="58"/>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7"/>
      <c r="AB671" s="67"/>
      <c r="AC671" s="58"/>
      <c r="AD671" s="58"/>
      <c r="AE671" s="58"/>
      <c r="AF671" s="58"/>
      <c r="AG671" s="58"/>
      <c r="AH671" s="58"/>
      <c r="AI671" s="58"/>
      <c r="AJ671" s="58"/>
      <c r="AK671" s="58"/>
      <c r="AL671" s="58"/>
      <c r="AM671" s="58"/>
    </row>
    <row r="672" spans="2:39" ht="12.75">
      <c r="B672" s="58"/>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7"/>
      <c r="AB672" s="67"/>
      <c r="AC672" s="58"/>
      <c r="AD672" s="58"/>
      <c r="AE672" s="58"/>
      <c r="AF672" s="58"/>
      <c r="AG672" s="58"/>
      <c r="AH672" s="58"/>
      <c r="AI672" s="58"/>
      <c r="AJ672" s="58"/>
      <c r="AK672" s="58"/>
      <c r="AL672" s="58"/>
      <c r="AM672" s="58"/>
    </row>
    <row r="673" spans="2:39" ht="12.75">
      <c r="B673" s="58"/>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7"/>
      <c r="AB673" s="67"/>
      <c r="AC673" s="58"/>
      <c r="AD673" s="58"/>
      <c r="AE673" s="58"/>
      <c r="AF673" s="58"/>
      <c r="AG673" s="58"/>
      <c r="AH673" s="58"/>
      <c r="AI673" s="58"/>
      <c r="AJ673" s="58"/>
      <c r="AK673" s="58"/>
      <c r="AL673" s="58"/>
      <c r="AM673" s="58"/>
    </row>
    <row r="674" spans="2:39" ht="12.75">
      <c r="B674" s="58"/>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7"/>
      <c r="AB674" s="67"/>
      <c r="AC674" s="58"/>
      <c r="AD674" s="58"/>
      <c r="AE674" s="58"/>
      <c r="AF674" s="58"/>
      <c r="AG674" s="58"/>
      <c r="AH674" s="58"/>
      <c r="AI674" s="58"/>
      <c r="AJ674" s="58"/>
      <c r="AK674" s="58"/>
      <c r="AL674" s="58"/>
      <c r="AM674" s="58"/>
    </row>
    <row r="675" spans="2:39" ht="12.75">
      <c r="B675" s="58"/>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7"/>
      <c r="AB675" s="67"/>
      <c r="AC675" s="58"/>
      <c r="AD675" s="58"/>
      <c r="AE675" s="58"/>
      <c r="AF675" s="58"/>
      <c r="AG675" s="58"/>
      <c r="AH675" s="58"/>
      <c r="AI675" s="58"/>
      <c r="AJ675" s="58"/>
      <c r="AK675" s="58"/>
      <c r="AL675" s="58"/>
      <c r="AM675" s="58"/>
    </row>
    <row r="676" spans="2:39" ht="12.75">
      <c r="B676" s="58"/>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7"/>
      <c r="AB676" s="67"/>
      <c r="AC676" s="58"/>
      <c r="AD676" s="58"/>
      <c r="AE676" s="58"/>
      <c r="AF676" s="58"/>
      <c r="AG676" s="58"/>
      <c r="AH676" s="58"/>
      <c r="AI676" s="58"/>
      <c r="AJ676" s="58"/>
      <c r="AK676" s="58"/>
      <c r="AL676" s="58"/>
      <c r="AM676" s="58"/>
    </row>
    <row r="677" spans="2:39" ht="12.75">
      <c r="B677" s="58"/>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7"/>
      <c r="AB677" s="67"/>
      <c r="AC677" s="58"/>
      <c r="AD677" s="58"/>
      <c r="AE677" s="58"/>
      <c r="AF677" s="58"/>
      <c r="AG677" s="58"/>
      <c r="AH677" s="58"/>
      <c r="AI677" s="58"/>
      <c r="AJ677" s="58"/>
      <c r="AK677" s="58"/>
      <c r="AL677" s="58"/>
      <c r="AM677" s="58"/>
    </row>
    <row r="678" spans="2:39" ht="12.75">
      <c r="B678" s="58"/>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7"/>
      <c r="AB678" s="67"/>
      <c r="AC678" s="58"/>
      <c r="AD678" s="58"/>
      <c r="AE678" s="58"/>
      <c r="AF678" s="58"/>
      <c r="AG678" s="58"/>
      <c r="AH678" s="58"/>
      <c r="AI678" s="58"/>
      <c r="AJ678" s="58"/>
      <c r="AK678" s="58"/>
      <c r="AL678" s="58"/>
      <c r="AM678" s="58"/>
    </row>
    <row r="679" spans="2:39" ht="12.75">
      <c r="B679" s="58"/>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7"/>
      <c r="AB679" s="67"/>
      <c r="AC679" s="58"/>
      <c r="AD679" s="58"/>
      <c r="AE679" s="58"/>
      <c r="AF679" s="58"/>
      <c r="AG679" s="58"/>
      <c r="AH679" s="58"/>
      <c r="AI679" s="58"/>
      <c r="AJ679" s="58"/>
      <c r="AK679" s="58"/>
      <c r="AL679" s="58"/>
      <c r="AM679" s="58"/>
    </row>
    <row r="680" spans="2:39" ht="12.75">
      <c r="B680" s="58"/>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7"/>
      <c r="AB680" s="67"/>
      <c r="AC680" s="58"/>
      <c r="AD680" s="58"/>
      <c r="AE680" s="58"/>
      <c r="AF680" s="58"/>
      <c r="AG680" s="58"/>
      <c r="AH680" s="58"/>
      <c r="AI680" s="58"/>
      <c r="AJ680" s="58"/>
      <c r="AK680" s="58"/>
      <c r="AL680" s="58"/>
      <c r="AM680" s="58"/>
    </row>
    <row r="681" spans="2:39" ht="12.75">
      <c r="B681" s="58"/>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7"/>
      <c r="AB681" s="67"/>
      <c r="AC681" s="58"/>
      <c r="AD681" s="58"/>
      <c r="AE681" s="58"/>
      <c r="AF681" s="58"/>
      <c r="AG681" s="58"/>
      <c r="AH681" s="58"/>
      <c r="AI681" s="58"/>
      <c r="AJ681" s="58"/>
      <c r="AK681" s="58"/>
      <c r="AL681" s="58"/>
      <c r="AM681" s="58"/>
    </row>
    <row r="682" spans="2:39" ht="12.75">
      <c r="B682" s="58"/>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7"/>
      <c r="AB682" s="67"/>
      <c r="AC682" s="58"/>
      <c r="AD682" s="58"/>
      <c r="AE682" s="58"/>
      <c r="AF682" s="58"/>
      <c r="AG682" s="58"/>
      <c r="AH682" s="58"/>
      <c r="AI682" s="58"/>
      <c r="AJ682" s="58"/>
      <c r="AK682" s="58"/>
      <c r="AL682" s="58"/>
      <c r="AM682" s="58"/>
    </row>
    <row r="683" spans="2:39" ht="12.75">
      <c r="B683" s="58"/>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7"/>
      <c r="AB683" s="67"/>
      <c r="AC683" s="58"/>
      <c r="AD683" s="58"/>
      <c r="AE683" s="58"/>
      <c r="AF683" s="58"/>
      <c r="AG683" s="58"/>
      <c r="AH683" s="58"/>
      <c r="AI683" s="58"/>
      <c r="AJ683" s="58"/>
      <c r="AK683" s="58"/>
      <c r="AL683" s="58"/>
      <c r="AM683" s="58"/>
    </row>
    <row r="684" spans="2:39" ht="12.75">
      <c r="B684" s="58"/>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7"/>
      <c r="AB684" s="67"/>
      <c r="AC684" s="58"/>
      <c r="AD684" s="58"/>
      <c r="AE684" s="58"/>
      <c r="AF684" s="58"/>
      <c r="AG684" s="58"/>
      <c r="AH684" s="58"/>
      <c r="AI684" s="58"/>
      <c r="AJ684" s="58"/>
      <c r="AK684" s="58"/>
      <c r="AL684" s="58"/>
      <c r="AM684" s="58"/>
    </row>
    <row r="685" spans="2:39" ht="12.75">
      <c r="B685" s="58"/>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7"/>
      <c r="AB685" s="67"/>
      <c r="AC685" s="58"/>
      <c r="AD685" s="58"/>
      <c r="AE685" s="58"/>
      <c r="AF685" s="58"/>
      <c r="AG685" s="58"/>
      <c r="AH685" s="58"/>
      <c r="AI685" s="58"/>
      <c r="AJ685" s="58"/>
      <c r="AK685" s="58"/>
      <c r="AL685" s="58"/>
      <c r="AM685" s="58"/>
    </row>
    <row r="686" spans="2:39" ht="12.75">
      <c r="B686" s="58"/>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7"/>
      <c r="AB686" s="67"/>
      <c r="AC686" s="58"/>
      <c r="AD686" s="58"/>
      <c r="AE686" s="58"/>
      <c r="AF686" s="58"/>
      <c r="AG686" s="58"/>
      <c r="AH686" s="58"/>
      <c r="AI686" s="58"/>
      <c r="AJ686" s="58"/>
      <c r="AK686" s="58"/>
      <c r="AL686" s="58"/>
      <c r="AM686" s="58"/>
    </row>
    <row r="687" spans="2:39" ht="12.75">
      <c r="B687" s="58"/>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7"/>
      <c r="AB687" s="67"/>
      <c r="AC687" s="58"/>
      <c r="AD687" s="58"/>
      <c r="AE687" s="58"/>
      <c r="AF687" s="58"/>
      <c r="AG687" s="58"/>
      <c r="AH687" s="58"/>
      <c r="AI687" s="58"/>
      <c r="AJ687" s="58"/>
      <c r="AK687" s="58"/>
      <c r="AL687" s="58"/>
      <c r="AM687" s="58"/>
    </row>
    <row r="688" spans="2:39" ht="12.75">
      <c r="B688" s="58"/>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7"/>
      <c r="AB688" s="67"/>
      <c r="AC688" s="58"/>
      <c r="AD688" s="58"/>
      <c r="AE688" s="58"/>
      <c r="AF688" s="58"/>
      <c r="AG688" s="58"/>
      <c r="AH688" s="58"/>
      <c r="AI688" s="58"/>
      <c r="AJ688" s="58"/>
      <c r="AK688" s="58"/>
      <c r="AL688" s="58"/>
      <c r="AM688" s="58"/>
    </row>
    <row r="689" spans="2:39" ht="12.75">
      <c r="B689" s="58"/>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7"/>
      <c r="AB689" s="67"/>
      <c r="AC689" s="58"/>
      <c r="AD689" s="58"/>
      <c r="AE689" s="58"/>
      <c r="AF689" s="58"/>
      <c r="AG689" s="58"/>
      <c r="AH689" s="58"/>
      <c r="AI689" s="58"/>
      <c r="AJ689" s="58"/>
      <c r="AK689" s="58"/>
      <c r="AL689" s="58"/>
      <c r="AM689" s="58"/>
    </row>
    <row r="690" spans="2:39" ht="12.75">
      <c r="B690" s="58"/>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7"/>
      <c r="AB690" s="67"/>
      <c r="AC690" s="58"/>
      <c r="AD690" s="58"/>
      <c r="AE690" s="58"/>
      <c r="AF690" s="58"/>
      <c r="AG690" s="58"/>
      <c r="AH690" s="58"/>
      <c r="AI690" s="58"/>
      <c r="AJ690" s="58"/>
      <c r="AK690" s="58"/>
      <c r="AL690" s="58"/>
      <c r="AM690" s="58"/>
    </row>
    <row r="691" spans="2:39" ht="12.75">
      <c r="B691" s="58"/>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7"/>
      <c r="AB691" s="67"/>
      <c r="AC691" s="58"/>
      <c r="AD691" s="58"/>
      <c r="AE691" s="58"/>
      <c r="AF691" s="58"/>
      <c r="AG691" s="58"/>
      <c r="AH691" s="58"/>
      <c r="AI691" s="58"/>
      <c r="AJ691" s="58"/>
      <c r="AK691" s="58"/>
      <c r="AL691" s="58"/>
      <c r="AM691" s="58"/>
    </row>
    <row r="692" spans="2:39" ht="12.75">
      <c r="B692" s="58"/>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7"/>
      <c r="AB692" s="67"/>
      <c r="AC692" s="58"/>
      <c r="AD692" s="58"/>
      <c r="AE692" s="58"/>
      <c r="AF692" s="58"/>
      <c r="AG692" s="58"/>
      <c r="AH692" s="58"/>
      <c r="AI692" s="58"/>
      <c r="AJ692" s="58"/>
      <c r="AK692" s="58"/>
      <c r="AL692" s="58"/>
      <c r="AM692" s="58"/>
    </row>
    <row r="693" spans="2:39" ht="12.75">
      <c r="B693" s="58"/>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7"/>
      <c r="AB693" s="67"/>
      <c r="AC693" s="58"/>
      <c r="AD693" s="58"/>
      <c r="AE693" s="58"/>
      <c r="AF693" s="58"/>
      <c r="AG693" s="58"/>
      <c r="AH693" s="58"/>
      <c r="AI693" s="58"/>
      <c r="AJ693" s="58"/>
      <c r="AK693" s="58"/>
      <c r="AL693" s="58"/>
      <c r="AM693" s="58"/>
    </row>
    <row r="694" spans="2:39" ht="12.75">
      <c r="B694" s="58"/>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7"/>
      <c r="AB694" s="67"/>
      <c r="AC694" s="58"/>
      <c r="AD694" s="58"/>
      <c r="AE694" s="58"/>
      <c r="AF694" s="58"/>
      <c r="AG694" s="58"/>
      <c r="AH694" s="58"/>
      <c r="AI694" s="58"/>
      <c r="AJ694" s="58"/>
      <c r="AK694" s="58"/>
      <c r="AL694" s="58"/>
      <c r="AM694" s="58"/>
    </row>
    <row r="695" spans="2:39" ht="12.75">
      <c r="B695" s="58"/>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7"/>
      <c r="AB695" s="67"/>
      <c r="AC695" s="58"/>
      <c r="AD695" s="58"/>
      <c r="AE695" s="58"/>
      <c r="AF695" s="58"/>
      <c r="AG695" s="58"/>
      <c r="AH695" s="58"/>
      <c r="AI695" s="58"/>
      <c r="AJ695" s="58"/>
      <c r="AK695" s="58"/>
      <c r="AL695" s="58"/>
      <c r="AM695" s="58"/>
    </row>
    <row r="696" spans="2:39" ht="12.75">
      <c r="B696" s="58"/>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7"/>
      <c r="AB696" s="67"/>
      <c r="AC696" s="58"/>
      <c r="AD696" s="58"/>
      <c r="AE696" s="58"/>
      <c r="AF696" s="58"/>
      <c r="AG696" s="58"/>
      <c r="AH696" s="58"/>
      <c r="AI696" s="58"/>
      <c r="AJ696" s="58"/>
      <c r="AK696" s="58"/>
      <c r="AL696" s="58"/>
      <c r="AM696" s="58"/>
    </row>
    <row r="697" spans="2:39" ht="12.75">
      <c r="B697" s="58"/>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7"/>
      <c r="AB697" s="67"/>
      <c r="AC697" s="58"/>
      <c r="AD697" s="58"/>
      <c r="AE697" s="58"/>
      <c r="AF697" s="58"/>
      <c r="AG697" s="58"/>
      <c r="AH697" s="58"/>
      <c r="AI697" s="58"/>
      <c r="AJ697" s="58"/>
      <c r="AK697" s="58"/>
      <c r="AL697" s="58"/>
      <c r="AM697" s="58"/>
    </row>
    <row r="698" spans="2:39" ht="12.75">
      <c r="B698" s="58"/>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7"/>
      <c r="AB698" s="67"/>
      <c r="AC698" s="58"/>
      <c r="AD698" s="58"/>
      <c r="AE698" s="58"/>
      <c r="AF698" s="58"/>
      <c r="AG698" s="58"/>
      <c r="AH698" s="58"/>
      <c r="AI698" s="58"/>
      <c r="AJ698" s="58"/>
      <c r="AK698" s="58"/>
      <c r="AL698" s="58"/>
      <c r="AM698" s="58"/>
    </row>
    <row r="699" spans="2:39" ht="12.75">
      <c r="B699" s="58"/>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7"/>
      <c r="AB699" s="67"/>
      <c r="AC699" s="58"/>
      <c r="AD699" s="58"/>
      <c r="AE699" s="58"/>
      <c r="AF699" s="58"/>
      <c r="AG699" s="58"/>
      <c r="AH699" s="58"/>
      <c r="AI699" s="58"/>
      <c r="AJ699" s="58"/>
      <c r="AK699" s="58"/>
      <c r="AL699" s="58"/>
      <c r="AM699" s="58"/>
    </row>
    <row r="700" spans="2:39" ht="12.75">
      <c r="B700" s="58"/>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7"/>
      <c r="AB700" s="67"/>
      <c r="AC700" s="58"/>
      <c r="AD700" s="58"/>
      <c r="AE700" s="58"/>
      <c r="AF700" s="58"/>
      <c r="AG700" s="58"/>
      <c r="AH700" s="58"/>
      <c r="AI700" s="58"/>
      <c r="AJ700" s="58"/>
      <c r="AK700" s="58"/>
      <c r="AL700" s="58"/>
      <c r="AM700" s="58"/>
    </row>
    <row r="701" spans="2:39" ht="12.75">
      <c r="B701" s="58"/>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7"/>
      <c r="AB701" s="67"/>
      <c r="AC701" s="58"/>
      <c r="AD701" s="58"/>
      <c r="AE701" s="58"/>
      <c r="AF701" s="58"/>
      <c r="AG701" s="58"/>
      <c r="AH701" s="58"/>
      <c r="AI701" s="58"/>
      <c r="AJ701" s="58"/>
      <c r="AK701" s="58"/>
      <c r="AL701" s="58"/>
      <c r="AM701" s="58"/>
    </row>
    <row r="702" spans="2:39" ht="12.75">
      <c r="B702" s="58"/>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7"/>
      <c r="AB702" s="67"/>
      <c r="AC702" s="58"/>
      <c r="AD702" s="58"/>
      <c r="AE702" s="58"/>
      <c r="AF702" s="58"/>
      <c r="AG702" s="58"/>
      <c r="AH702" s="58"/>
      <c r="AI702" s="58"/>
      <c r="AJ702" s="58"/>
      <c r="AK702" s="58"/>
      <c r="AL702" s="58"/>
      <c r="AM702" s="58"/>
    </row>
    <row r="703" spans="2:39" ht="12.75">
      <c r="B703" s="58"/>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7"/>
      <c r="AB703" s="67"/>
      <c r="AC703" s="58"/>
      <c r="AD703" s="58"/>
      <c r="AE703" s="58"/>
      <c r="AF703" s="58"/>
      <c r="AG703" s="58"/>
      <c r="AH703" s="58"/>
      <c r="AI703" s="58"/>
      <c r="AJ703" s="58"/>
      <c r="AK703" s="58"/>
      <c r="AL703" s="58"/>
      <c r="AM703" s="58"/>
    </row>
    <row r="704" spans="2:39" ht="12.75">
      <c r="B704" s="58"/>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7"/>
      <c r="AB704" s="67"/>
      <c r="AC704" s="58"/>
      <c r="AD704" s="58"/>
      <c r="AE704" s="58"/>
      <c r="AF704" s="58"/>
      <c r="AG704" s="58"/>
      <c r="AH704" s="58"/>
      <c r="AI704" s="58"/>
      <c r="AJ704" s="58"/>
      <c r="AK704" s="58"/>
      <c r="AL704" s="58"/>
      <c r="AM704" s="58"/>
    </row>
    <row r="705" spans="2:39" ht="12.75">
      <c r="B705" s="58"/>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7"/>
      <c r="AB705" s="67"/>
      <c r="AC705" s="58"/>
      <c r="AD705" s="58"/>
      <c r="AE705" s="58"/>
      <c r="AF705" s="58"/>
      <c r="AG705" s="58"/>
      <c r="AH705" s="58"/>
      <c r="AI705" s="58"/>
      <c r="AJ705" s="58"/>
      <c r="AK705" s="58"/>
      <c r="AL705" s="58"/>
      <c r="AM705" s="58"/>
    </row>
    <row r="706" spans="2:39" ht="12.75">
      <c r="B706" s="58"/>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7"/>
      <c r="AB706" s="67"/>
      <c r="AC706" s="58"/>
      <c r="AD706" s="58"/>
      <c r="AE706" s="58"/>
      <c r="AF706" s="58"/>
      <c r="AG706" s="58"/>
      <c r="AH706" s="58"/>
      <c r="AI706" s="58"/>
      <c r="AJ706" s="58"/>
      <c r="AK706" s="58"/>
      <c r="AL706" s="58"/>
      <c r="AM706" s="58"/>
    </row>
    <row r="707" spans="2:39" ht="12.75">
      <c r="B707" s="58"/>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7"/>
      <c r="AB707" s="67"/>
      <c r="AC707" s="58"/>
      <c r="AD707" s="58"/>
      <c r="AE707" s="58"/>
      <c r="AF707" s="58"/>
      <c r="AG707" s="58"/>
      <c r="AH707" s="58"/>
      <c r="AI707" s="58"/>
      <c r="AJ707" s="58"/>
      <c r="AK707" s="58"/>
      <c r="AL707" s="58"/>
      <c r="AM707" s="58"/>
    </row>
    <row r="708" spans="2:39" ht="12.75">
      <c r="B708" s="58"/>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7"/>
      <c r="AB708" s="67"/>
      <c r="AC708" s="58"/>
      <c r="AD708" s="58"/>
      <c r="AE708" s="58"/>
      <c r="AF708" s="58"/>
      <c r="AG708" s="58"/>
      <c r="AH708" s="58"/>
      <c r="AI708" s="58"/>
      <c r="AJ708" s="58"/>
      <c r="AK708" s="58"/>
      <c r="AL708" s="58"/>
      <c r="AM708" s="58"/>
    </row>
  </sheetData>
  <sheetProtection/>
  <mergeCells count="6">
    <mergeCell ref="C6:J6"/>
    <mergeCell ref="K8:N8"/>
    <mergeCell ref="C8:F8"/>
    <mergeCell ref="G8:J8"/>
    <mergeCell ref="O8:R8"/>
    <mergeCell ref="S8:V8"/>
  </mergeCells>
  <printOptions/>
  <pageMargins left="0.75" right="0.75" top="1" bottom="1" header="0.5" footer="0.5"/>
  <pageSetup fitToWidth="2" horizontalDpi="600" verticalDpi="600" orientation="landscape" scale="59" r:id="rId3"/>
  <legacyDrawing r:id="rId2"/>
</worksheet>
</file>

<file path=xl/worksheets/sheet7.xml><?xml version="1.0" encoding="utf-8"?>
<worksheet xmlns="http://schemas.openxmlformats.org/spreadsheetml/2006/main" xmlns:r="http://schemas.openxmlformats.org/officeDocument/2006/relationships">
  <sheetPr codeName="Sheet14">
    <tabColor rgb="FF008887"/>
  </sheetPr>
  <dimension ref="A1:Y78"/>
  <sheetViews>
    <sheetView zoomScalePageLayoutView="0" workbookViewId="0" topLeftCell="A1">
      <selection activeCell="C6" sqref="C6:G6"/>
    </sheetView>
  </sheetViews>
  <sheetFormatPr defaultColWidth="9.33203125" defaultRowHeight="12.75"/>
  <cols>
    <col min="1" max="1" width="4.16015625" style="0" customWidth="1"/>
    <col min="2" max="2" width="22" style="0" customWidth="1"/>
    <col min="3" max="3" width="4.66015625" style="0" customWidth="1"/>
    <col min="4" max="4" width="20.5" style="0" customWidth="1"/>
    <col min="5" max="5" width="19.83203125" style="0" customWidth="1"/>
    <col min="6" max="6" width="15.33203125" style="0" customWidth="1"/>
    <col min="7" max="7" width="16.5" style="0" customWidth="1"/>
    <col min="8" max="8" width="5.5" style="0" customWidth="1"/>
    <col min="9" max="9" width="6.16015625" style="0" customWidth="1"/>
    <col min="12" max="12" width="14.83203125" style="0" customWidth="1"/>
    <col min="13" max="13" width="20.66015625" style="0" customWidth="1"/>
    <col min="14" max="14" width="16.83203125" style="0" customWidth="1"/>
    <col min="15" max="15" width="15.66015625" style="0" customWidth="1"/>
  </cols>
  <sheetData>
    <row r="1" spans="1:25" ht="12.75">
      <c r="A1" s="62"/>
      <c r="B1" s="62"/>
      <c r="C1" s="62"/>
      <c r="D1" s="62"/>
      <c r="E1" s="62"/>
      <c r="F1" s="62"/>
      <c r="G1" s="62"/>
      <c r="H1" s="62"/>
      <c r="I1" s="62"/>
      <c r="J1" s="62"/>
      <c r="K1" s="62"/>
      <c r="L1" s="62"/>
      <c r="M1" s="62"/>
      <c r="N1" s="62"/>
      <c r="O1" s="62"/>
      <c r="P1" s="62"/>
      <c r="Q1" s="62"/>
      <c r="R1" s="58"/>
      <c r="S1" s="58"/>
      <c r="T1" s="58"/>
      <c r="U1" s="58"/>
      <c r="V1" s="58"/>
      <c r="W1" s="58"/>
      <c r="X1" s="58"/>
      <c r="Y1" s="58"/>
    </row>
    <row r="2" spans="1:25" ht="13.5" thickBot="1">
      <c r="A2" s="62"/>
      <c r="B2" s="62"/>
      <c r="C2" s="62"/>
      <c r="D2" s="62"/>
      <c r="E2" s="62"/>
      <c r="F2" s="62"/>
      <c r="G2" s="62"/>
      <c r="H2" s="62"/>
      <c r="I2" s="62"/>
      <c r="J2" s="62"/>
      <c r="K2" s="62"/>
      <c r="L2" s="62"/>
      <c r="M2" s="62"/>
      <c r="N2" s="62"/>
      <c r="O2" s="62"/>
      <c r="P2" s="62"/>
      <c r="Q2" s="62"/>
      <c r="R2" s="58"/>
      <c r="S2" s="58"/>
      <c r="T2" s="58"/>
      <c r="U2" s="58"/>
      <c r="V2" s="58"/>
      <c r="W2" s="58"/>
      <c r="X2" s="58"/>
      <c r="Y2" s="58"/>
    </row>
    <row r="3" spans="1:25" ht="30.75" thickTop="1">
      <c r="A3" s="62"/>
      <c r="B3" s="110" t="s">
        <v>163</v>
      </c>
      <c r="C3" s="111"/>
      <c r="D3" s="111"/>
      <c r="E3" s="111"/>
      <c r="F3" s="111"/>
      <c r="G3" s="111"/>
      <c r="H3" s="111"/>
      <c r="I3" s="112"/>
      <c r="J3" s="62"/>
      <c r="K3" s="62"/>
      <c r="L3" s="62"/>
      <c r="M3" s="62"/>
      <c r="N3" s="62"/>
      <c r="O3" s="62"/>
      <c r="P3" s="62"/>
      <c r="Q3" s="62"/>
      <c r="R3" s="58"/>
      <c r="S3" s="58"/>
      <c r="T3" s="58"/>
      <c r="U3" s="58"/>
      <c r="V3" s="58"/>
      <c r="W3" s="58"/>
      <c r="X3" s="58"/>
      <c r="Y3" s="58"/>
    </row>
    <row r="4" spans="1:25" ht="12.75">
      <c r="A4" s="62"/>
      <c r="B4" s="113" t="s">
        <v>73</v>
      </c>
      <c r="C4" s="101"/>
      <c r="D4" s="101"/>
      <c r="E4" s="62"/>
      <c r="F4" s="62"/>
      <c r="G4" s="62"/>
      <c r="H4" s="62"/>
      <c r="I4" s="114"/>
      <c r="J4" s="62"/>
      <c r="K4" s="62"/>
      <c r="L4" s="62"/>
      <c r="M4" s="62"/>
      <c r="N4" s="62"/>
      <c r="O4" s="62"/>
      <c r="P4" s="62"/>
      <c r="Q4" s="62"/>
      <c r="R4" s="58"/>
      <c r="S4" s="58"/>
      <c r="T4" s="58"/>
      <c r="U4" s="58"/>
      <c r="V4" s="58"/>
      <c r="W4" s="58"/>
      <c r="X4" s="58"/>
      <c r="Y4" s="58"/>
    </row>
    <row r="5" spans="1:25" ht="12.75">
      <c r="A5" s="62"/>
      <c r="B5" s="115"/>
      <c r="C5" s="101"/>
      <c r="D5" s="101"/>
      <c r="E5" s="62"/>
      <c r="F5" s="62"/>
      <c r="G5" s="62"/>
      <c r="H5" s="62"/>
      <c r="I5" s="114"/>
      <c r="J5" s="62"/>
      <c r="K5" s="62"/>
      <c r="L5" s="62"/>
      <c r="M5" s="62"/>
      <c r="N5" s="62"/>
      <c r="O5" s="62"/>
      <c r="P5" s="62"/>
      <c r="Q5" s="62"/>
      <c r="R5" s="58"/>
      <c r="S5" s="58"/>
      <c r="T5" s="58"/>
      <c r="U5" s="58"/>
      <c r="V5" s="58"/>
      <c r="W5" s="58"/>
      <c r="X5" s="58"/>
      <c r="Y5" s="58"/>
    </row>
    <row r="6" spans="1:25" ht="12.75">
      <c r="A6" s="62"/>
      <c r="B6" s="116" t="s">
        <v>72</v>
      </c>
      <c r="C6" s="404" t="s">
        <v>78</v>
      </c>
      <c r="D6" s="404"/>
      <c r="E6" s="404"/>
      <c r="F6" s="404"/>
      <c r="G6" s="404"/>
      <c r="H6" s="62"/>
      <c r="I6" s="114"/>
      <c r="J6" s="62"/>
      <c r="K6" s="62"/>
      <c r="L6" s="58"/>
      <c r="M6" s="58"/>
      <c r="N6" s="58"/>
      <c r="O6" s="58"/>
      <c r="P6" s="62"/>
      <c r="Q6" s="62"/>
      <c r="R6" s="58"/>
      <c r="S6" s="58"/>
      <c r="T6" s="58"/>
      <c r="U6" s="58"/>
      <c r="V6" s="58"/>
      <c r="W6" s="58"/>
      <c r="X6" s="58"/>
      <c r="Y6" s="58"/>
    </row>
    <row r="7" spans="1:25" ht="12.75">
      <c r="A7" s="62"/>
      <c r="B7" s="115"/>
      <c r="C7" s="101"/>
      <c r="D7" s="101"/>
      <c r="E7" s="62"/>
      <c r="F7" s="62"/>
      <c r="G7" s="62"/>
      <c r="H7" s="62"/>
      <c r="I7" s="114"/>
      <c r="J7" s="62"/>
      <c r="K7" s="62"/>
      <c r="L7" s="85"/>
      <c r="M7" s="62"/>
      <c r="N7" s="62"/>
      <c r="O7" s="62"/>
      <c r="P7" s="62"/>
      <c r="Q7" s="62"/>
      <c r="R7" s="58"/>
      <c r="S7" s="58"/>
      <c r="T7" s="58"/>
      <c r="U7" s="58"/>
      <c r="V7" s="58"/>
      <c r="W7" s="58"/>
      <c r="X7" s="58"/>
      <c r="Y7" s="58"/>
    </row>
    <row r="8" spans="1:25" ht="12.75">
      <c r="A8" s="62"/>
      <c r="B8" s="407" t="s">
        <v>106</v>
      </c>
      <c r="C8" s="408"/>
      <c r="D8" s="251"/>
      <c r="E8" s="62"/>
      <c r="F8" s="62"/>
      <c r="G8" s="62"/>
      <c r="H8" s="62"/>
      <c r="I8" s="114"/>
      <c r="J8" s="62"/>
      <c r="K8" s="62"/>
      <c r="L8" s="58"/>
      <c r="M8" s="62"/>
      <c r="N8" s="62"/>
      <c r="O8" s="62"/>
      <c r="P8" s="62"/>
      <c r="Q8" s="62"/>
      <c r="R8" s="58"/>
      <c r="S8" s="58"/>
      <c r="T8" s="58"/>
      <c r="U8" s="58"/>
      <c r="V8" s="58"/>
      <c r="W8" s="58"/>
      <c r="X8" s="58"/>
      <c r="Y8" s="58"/>
    </row>
    <row r="9" spans="1:25" ht="12.75">
      <c r="A9" s="62"/>
      <c r="B9" s="115"/>
      <c r="C9" s="101"/>
      <c r="D9" s="227"/>
      <c r="E9" s="62"/>
      <c r="F9" s="62"/>
      <c r="G9" s="62"/>
      <c r="H9" s="62"/>
      <c r="I9" s="114"/>
      <c r="J9" s="62"/>
      <c r="K9" s="62"/>
      <c r="L9" s="85"/>
      <c r="M9" s="62"/>
      <c r="N9" s="62"/>
      <c r="O9" s="62"/>
      <c r="P9" s="62"/>
      <c r="Q9" s="62"/>
      <c r="R9" s="58"/>
      <c r="S9" s="58"/>
      <c r="T9" s="58"/>
      <c r="U9" s="58"/>
      <c r="V9" s="58"/>
      <c r="W9" s="58"/>
      <c r="X9" s="58"/>
      <c r="Y9" s="58"/>
    </row>
    <row r="10" spans="1:25" ht="14.25">
      <c r="A10" s="62"/>
      <c r="B10" s="409" t="s">
        <v>203</v>
      </c>
      <c r="C10" s="408"/>
      <c r="D10" s="235">
        <f>D8*wastecoef</f>
        <v>0</v>
      </c>
      <c r="E10" s="62"/>
      <c r="F10" s="62"/>
      <c r="G10" s="62"/>
      <c r="H10" s="62"/>
      <c r="I10" s="114"/>
      <c r="J10" s="62"/>
      <c r="K10" s="62"/>
      <c r="L10" s="62"/>
      <c r="M10" s="62"/>
      <c r="N10" s="62"/>
      <c r="O10" s="62"/>
      <c r="P10" s="62"/>
      <c r="Q10" s="62"/>
      <c r="R10" s="58"/>
      <c r="S10" s="58"/>
      <c r="T10" s="58"/>
      <c r="U10" s="58"/>
      <c r="V10" s="58"/>
      <c r="W10" s="58"/>
      <c r="X10" s="58"/>
      <c r="Y10" s="58"/>
    </row>
    <row r="11" spans="1:25" ht="12.75">
      <c r="A11" s="62"/>
      <c r="B11" s="115"/>
      <c r="C11" s="101"/>
      <c r="D11" s="101"/>
      <c r="E11" s="62"/>
      <c r="F11" s="62"/>
      <c r="G11" s="62"/>
      <c r="H11" s="62"/>
      <c r="I11" s="114"/>
      <c r="J11" s="62"/>
      <c r="K11" s="62"/>
      <c r="L11" s="62"/>
      <c r="M11" s="62"/>
      <c r="N11" s="62"/>
      <c r="O11" s="62"/>
      <c r="P11" s="62"/>
      <c r="Q11" s="62"/>
      <c r="R11" s="58"/>
      <c r="S11" s="58"/>
      <c r="T11" s="58"/>
      <c r="U11" s="58"/>
      <c r="V11" s="58"/>
      <c r="W11" s="58"/>
      <c r="X11" s="58"/>
      <c r="Y11" s="58"/>
    </row>
    <row r="12" spans="1:25" ht="13.5">
      <c r="A12" s="62"/>
      <c r="B12" s="410" t="s">
        <v>68</v>
      </c>
      <c r="C12" s="411"/>
      <c r="D12" s="229" t="s">
        <v>74</v>
      </c>
      <c r="E12" s="205" t="s">
        <v>204</v>
      </c>
      <c r="F12" s="205"/>
      <c r="G12" s="58"/>
      <c r="H12" s="62"/>
      <c r="I12" s="114"/>
      <c r="J12" s="62"/>
      <c r="K12" s="62"/>
      <c r="L12" s="62"/>
      <c r="M12" s="62"/>
      <c r="N12" s="62"/>
      <c r="O12" s="62"/>
      <c r="P12" s="62"/>
      <c r="Q12" s="62"/>
      <c r="R12" s="58"/>
      <c r="S12" s="58"/>
      <c r="T12" s="58"/>
      <c r="U12" s="58"/>
      <c r="V12" s="58"/>
      <c r="W12" s="58"/>
      <c r="X12" s="58"/>
      <c r="Y12" s="58"/>
    </row>
    <row r="13" spans="1:25" ht="12.75">
      <c r="A13" s="62"/>
      <c r="B13" s="405" t="s">
        <v>107</v>
      </c>
      <c r="C13" s="406"/>
      <c r="D13" s="228"/>
      <c r="E13" s="261" t="e">
        <f>corpwasteeco2/D13</f>
        <v>#DIV/0!</v>
      </c>
      <c r="F13" s="206"/>
      <c r="G13" s="58"/>
      <c r="H13" s="62"/>
      <c r="I13" s="114"/>
      <c r="J13" s="62"/>
      <c r="K13" s="62"/>
      <c r="L13" s="62"/>
      <c r="M13" s="62"/>
      <c r="N13" s="62"/>
      <c r="O13" s="62"/>
      <c r="P13" s="62"/>
      <c r="Q13" s="62"/>
      <c r="R13" s="58"/>
      <c r="S13" s="58"/>
      <c r="T13" s="58"/>
      <c r="U13" s="58"/>
      <c r="V13" s="58"/>
      <c r="W13" s="58"/>
      <c r="X13" s="58"/>
      <c r="Y13" s="58"/>
    </row>
    <row r="14" spans="1:25" ht="12.75">
      <c r="A14" s="62"/>
      <c r="B14" s="117"/>
      <c r="C14" s="62"/>
      <c r="D14" s="62"/>
      <c r="E14" s="62"/>
      <c r="F14" s="62"/>
      <c r="G14" s="62"/>
      <c r="H14" s="62"/>
      <c r="I14" s="114"/>
      <c r="J14" s="62"/>
      <c r="K14" s="62"/>
      <c r="L14" s="62"/>
      <c r="M14" s="62"/>
      <c r="N14" s="62"/>
      <c r="O14" s="62"/>
      <c r="P14" s="62"/>
      <c r="Q14" s="62"/>
      <c r="R14" s="58"/>
      <c r="S14" s="58"/>
      <c r="T14" s="58"/>
      <c r="U14" s="58"/>
      <c r="V14" s="58"/>
      <c r="W14" s="58"/>
      <c r="X14" s="58"/>
      <c r="Y14" s="58"/>
    </row>
    <row r="15" spans="1:25" ht="12.75">
      <c r="A15" s="62"/>
      <c r="B15" s="117"/>
      <c r="C15" s="62"/>
      <c r="D15" s="62"/>
      <c r="E15" s="62"/>
      <c r="F15" s="62"/>
      <c r="G15" s="62"/>
      <c r="H15" s="62"/>
      <c r="I15" s="114"/>
      <c r="J15" s="62"/>
      <c r="K15" s="62"/>
      <c r="L15" s="62"/>
      <c r="M15" s="62"/>
      <c r="N15" s="62"/>
      <c r="O15" s="62"/>
      <c r="P15" s="62"/>
      <c r="Q15" s="62"/>
      <c r="R15" s="58"/>
      <c r="S15" s="58"/>
      <c r="T15" s="58"/>
      <c r="U15" s="58"/>
      <c r="V15" s="58"/>
      <c r="W15" s="58"/>
      <c r="X15" s="58"/>
      <c r="Y15" s="58"/>
    </row>
    <row r="16" spans="1:25" ht="12.75">
      <c r="A16" s="62"/>
      <c r="B16" s="117"/>
      <c r="C16" s="62"/>
      <c r="D16" s="62"/>
      <c r="E16" s="62"/>
      <c r="F16" s="62"/>
      <c r="G16" s="62"/>
      <c r="H16" s="62"/>
      <c r="I16" s="114"/>
      <c r="J16" s="62"/>
      <c r="K16" s="62"/>
      <c r="L16" s="62"/>
      <c r="M16" s="62"/>
      <c r="N16" s="62"/>
      <c r="O16" s="62"/>
      <c r="P16" s="62"/>
      <c r="Q16" s="62"/>
      <c r="R16" s="58"/>
      <c r="S16" s="58"/>
      <c r="T16" s="58"/>
      <c r="U16" s="58"/>
      <c r="V16" s="58"/>
      <c r="W16" s="58"/>
      <c r="X16" s="58"/>
      <c r="Y16" s="58"/>
    </row>
    <row r="17" spans="1:25" ht="13.5" thickBot="1">
      <c r="A17" s="62"/>
      <c r="B17" s="165"/>
      <c r="C17" s="166"/>
      <c r="D17" s="166"/>
      <c r="E17" s="166"/>
      <c r="F17" s="166"/>
      <c r="G17" s="166"/>
      <c r="H17" s="166"/>
      <c r="I17" s="167"/>
      <c r="J17" s="62"/>
      <c r="K17" s="62"/>
      <c r="L17" s="62"/>
      <c r="M17" s="62"/>
      <c r="N17" s="62"/>
      <c r="O17" s="62"/>
      <c r="P17" s="62"/>
      <c r="Q17" s="62"/>
      <c r="R17" s="58"/>
      <c r="S17" s="58"/>
      <c r="T17" s="58"/>
      <c r="U17" s="58"/>
      <c r="V17" s="58"/>
      <c r="W17" s="58"/>
      <c r="X17" s="58"/>
      <c r="Y17" s="58"/>
    </row>
    <row r="18" spans="1:25" ht="13.5" thickTop="1">
      <c r="A18" s="62"/>
      <c r="B18" s="62"/>
      <c r="C18" s="62"/>
      <c r="D18" s="62"/>
      <c r="E18" s="62"/>
      <c r="F18" s="62"/>
      <c r="G18" s="62"/>
      <c r="H18" s="62"/>
      <c r="I18" s="62"/>
      <c r="J18" s="62"/>
      <c r="K18" s="62"/>
      <c r="L18" s="62"/>
      <c r="M18" s="62"/>
      <c r="N18" s="62"/>
      <c r="O18" s="62"/>
      <c r="P18" s="62"/>
      <c r="Q18" s="62"/>
      <c r="R18" s="58"/>
      <c r="S18" s="58"/>
      <c r="T18" s="58"/>
      <c r="U18" s="58"/>
      <c r="V18" s="58"/>
      <c r="W18" s="58"/>
      <c r="X18" s="58"/>
      <c r="Y18" s="58"/>
    </row>
    <row r="19" spans="1:25" ht="12.75">
      <c r="A19" s="62"/>
      <c r="B19" s="414" t="s">
        <v>287</v>
      </c>
      <c r="C19" s="414"/>
      <c r="D19" s="414"/>
      <c r="E19" s="414"/>
      <c r="F19" s="414"/>
      <c r="G19" s="414"/>
      <c r="H19" s="414"/>
      <c r="I19" s="414"/>
      <c r="J19" s="62"/>
      <c r="K19" s="62"/>
      <c r="L19" s="62"/>
      <c r="M19" s="62"/>
      <c r="N19" s="62"/>
      <c r="O19" s="62"/>
      <c r="P19" s="62"/>
      <c r="Q19" s="62"/>
      <c r="R19" s="58"/>
      <c r="S19" s="58"/>
      <c r="T19" s="58"/>
      <c r="U19" s="58"/>
      <c r="V19" s="58"/>
      <c r="W19" s="58"/>
      <c r="X19" s="58"/>
      <c r="Y19" s="58"/>
    </row>
    <row r="20" spans="1:25" ht="9.75" customHeight="1">
      <c r="A20" s="62"/>
      <c r="B20" s="62"/>
      <c r="C20" s="62"/>
      <c r="D20" s="62"/>
      <c r="E20" s="62"/>
      <c r="F20" s="62"/>
      <c r="G20" s="62"/>
      <c r="H20" s="62"/>
      <c r="I20" s="62"/>
      <c r="J20" s="62"/>
      <c r="K20" s="62"/>
      <c r="L20" s="62"/>
      <c r="M20" s="62"/>
      <c r="N20" s="62"/>
      <c r="O20" s="62"/>
      <c r="P20" s="62"/>
      <c r="Q20" s="62"/>
      <c r="R20" s="58"/>
      <c r="S20" s="58"/>
      <c r="T20" s="58"/>
      <c r="U20" s="58"/>
      <c r="V20" s="58"/>
      <c r="W20" s="58"/>
      <c r="X20" s="58"/>
      <c r="Y20" s="58"/>
    </row>
    <row r="21" spans="1:25" ht="40.5" customHeight="1">
      <c r="A21" s="232"/>
      <c r="B21" s="412" t="s">
        <v>249</v>
      </c>
      <c r="C21" s="413"/>
      <c r="D21" s="231" t="s">
        <v>293</v>
      </c>
      <c r="E21" s="230" t="s">
        <v>295</v>
      </c>
      <c r="F21" s="230" t="s">
        <v>248</v>
      </c>
      <c r="G21" s="230" t="s">
        <v>294</v>
      </c>
      <c r="H21" s="62"/>
      <c r="I21" s="62"/>
      <c r="J21" s="85"/>
      <c r="K21" s="62"/>
      <c r="L21" s="62"/>
      <c r="M21" s="62"/>
      <c r="N21" s="62"/>
      <c r="O21" s="62"/>
      <c r="P21" s="62"/>
      <c r="Q21" s="62"/>
      <c r="R21" s="58"/>
      <c r="S21" s="58"/>
      <c r="T21" s="58"/>
      <c r="U21" s="58"/>
      <c r="V21" s="58"/>
      <c r="W21" s="58"/>
      <c r="X21" s="58"/>
      <c r="Y21" s="58"/>
    </row>
    <row r="22" spans="1:25" ht="12.75">
      <c r="A22" s="62"/>
      <c r="B22" s="401"/>
      <c r="C22" s="402"/>
      <c r="D22" s="243"/>
      <c r="E22" s="233"/>
      <c r="F22" s="238"/>
      <c r="G22" s="234">
        <f>D22*E22*F22*12*wasteconv</f>
        <v>0</v>
      </c>
      <c r="H22" s="62"/>
      <c r="I22" s="62"/>
      <c r="J22" s="62"/>
      <c r="K22" s="62"/>
      <c r="L22" s="62"/>
      <c r="M22" s="62"/>
      <c r="N22" s="124"/>
      <c r="O22" s="62"/>
      <c r="P22" s="62"/>
      <c r="Q22" s="62"/>
      <c r="R22" s="58"/>
      <c r="S22" s="58"/>
      <c r="T22" s="58"/>
      <c r="U22" s="58"/>
      <c r="V22" s="58"/>
      <c r="W22" s="58"/>
      <c r="X22" s="58"/>
      <c r="Y22" s="58"/>
    </row>
    <row r="23" spans="1:25" ht="12.75">
      <c r="A23" s="62"/>
      <c r="B23" s="401"/>
      <c r="C23" s="402"/>
      <c r="D23" s="240"/>
      <c r="E23" s="237"/>
      <c r="F23" s="239"/>
      <c r="G23" s="234">
        <f>D23*E23*F23*12*wasteconv</f>
        <v>0</v>
      </c>
      <c r="H23" s="62"/>
      <c r="I23" s="62"/>
      <c r="J23" s="62"/>
      <c r="K23" s="62"/>
      <c r="L23" s="62"/>
      <c r="M23" s="62"/>
      <c r="N23" s="62"/>
      <c r="O23" s="62"/>
      <c r="P23" s="62"/>
      <c r="Q23" s="62"/>
      <c r="R23" s="58"/>
      <c r="S23" s="58"/>
      <c r="T23" s="58"/>
      <c r="U23" s="58"/>
      <c r="V23" s="58"/>
      <c r="W23" s="58"/>
      <c r="X23" s="58"/>
      <c r="Y23" s="58"/>
    </row>
    <row r="24" spans="1:25" ht="12.75">
      <c r="A24" s="62"/>
      <c r="B24" s="401"/>
      <c r="C24" s="402"/>
      <c r="D24" s="240"/>
      <c r="E24" s="237"/>
      <c r="F24" s="239"/>
      <c r="G24" s="234">
        <f aca="true" t="shared" si="0" ref="G24:G46">24*E24*F24*12*wasteconv</f>
        <v>0</v>
      </c>
      <c r="H24" s="62"/>
      <c r="I24" s="62"/>
      <c r="J24" s="62"/>
      <c r="K24" s="62"/>
      <c r="L24" s="62"/>
      <c r="M24" s="62"/>
      <c r="N24" s="62"/>
      <c r="O24" s="62"/>
      <c r="P24" s="62"/>
      <c r="Q24" s="62"/>
      <c r="R24" s="58"/>
      <c r="S24" s="58"/>
      <c r="T24" s="58"/>
      <c r="U24" s="58"/>
      <c r="V24" s="58"/>
      <c r="W24" s="58"/>
      <c r="X24" s="58"/>
      <c r="Y24" s="58"/>
    </row>
    <row r="25" spans="1:25" ht="12.75">
      <c r="A25" s="62"/>
      <c r="B25" s="401"/>
      <c r="C25" s="402"/>
      <c r="D25" s="240"/>
      <c r="E25" s="237"/>
      <c r="F25" s="239"/>
      <c r="G25" s="234">
        <f t="shared" si="0"/>
        <v>0</v>
      </c>
      <c r="H25" s="62"/>
      <c r="I25" s="62"/>
      <c r="J25" s="62"/>
      <c r="K25" s="62"/>
      <c r="L25" s="62"/>
      <c r="M25" s="62"/>
      <c r="N25" s="62"/>
      <c r="O25" s="62"/>
      <c r="P25" s="62"/>
      <c r="Q25" s="62"/>
      <c r="R25" s="58"/>
      <c r="S25" s="58"/>
      <c r="T25" s="58"/>
      <c r="U25" s="58"/>
      <c r="V25" s="58"/>
      <c r="W25" s="58"/>
      <c r="X25" s="58"/>
      <c r="Y25" s="58"/>
    </row>
    <row r="26" spans="1:25" ht="12.75">
      <c r="A26" s="62"/>
      <c r="B26" s="401"/>
      <c r="C26" s="402"/>
      <c r="D26" s="240"/>
      <c r="E26" s="237"/>
      <c r="F26" s="239"/>
      <c r="G26" s="234">
        <f t="shared" si="0"/>
        <v>0</v>
      </c>
      <c r="H26" s="62"/>
      <c r="I26" s="62"/>
      <c r="J26" s="62"/>
      <c r="K26" s="62"/>
      <c r="L26" s="62"/>
      <c r="M26" s="62"/>
      <c r="N26" s="62"/>
      <c r="O26" s="62"/>
      <c r="P26" s="62"/>
      <c r="Q26" s="62"/>
      <c r="R26" s="58"/>
      <c r="S26" s="58"/>
      <c r="T26" s="58"/>
      <c r="U26" s="58"/>
      <c r="V26" s="58"/>
      <c r="W26" s="58"/>
      <c r="X26" s="58"/>
      <c r="Y26" s="58"/>
    </row>
    <row r="27" spans="1:25" ht="12.75">
      <c r="A27" s="62"/>
      <c r="B27" s="401"/>
      <c r="C27" s="402"/>
      <c r="D27" s="240"/>
      <c r="E27" s="237"/>
      <c r="F27" s="239"/>
      <c r="G27" s="234">
        <f t="shared" si="0"/>
        <v>0</v>
      </c>
      <c r="H27" s="62"/>
      <c r="I27" s="62"/>
      <c r="J27" s="62"/>
      <c r="K27" s="62"/>
      <c r="L27" s="62"/>
      <c r="M27" s="62"/>
      <c r="N27" s="62"/>
      <c r="O27" s="62"/>
      <c r="P27" s="62"/>
      <c r="Q27" s="62"/>
      <c r="R27" s="58"/>
      <c r="S27" s="58"/>
      <c r="T27" s="58"/>
      <c r="U27" s="58"/>
      <c r="V27" s="58"/>
      <c r="W27" s="58"/>
      <c r="X27" s="58"/>
      <c r="Y27" s="58"/>
    </row>
    <row r="28" spans="1:25" ht="12.75">
      <c r="A28" s="62"/>
      <c r="B28" s="401"/>
      <c r="C28" s="402"/>
      <c r="D28" s="240"/>
      <c r="E28" s="237"/>
      <c r="F28" s="239"/>
      <c r="G28" s="234">
        <f t="shared" si="0"/>
        <v>0</v>
      </c>
      <c r="H28" s="62"/>
      <c r="I28" s="62"/>
      <c r="J28" s="62"/>
      <c r="K28" s="62"/>
      <c r="L28" s="62"/>
      <c r="M28" s="62"/>
      <c r="N28" s="62"/>
      <c r="O28" s="62"/>
      <c r="P28" s="62"/>
      <c r="Q28" s="62"/>
      <c r="R28" s="58"/>
      <c r="S28" s="58"/>
      <c r="T28" s="58"/>
      <c r="U28" s="58"/>
      <c r="V28" s="58"/>
      <c r="W28" s="58"/>
      <c r="X28" s="58"/>
      <c r="Y28" s="58"/>
    </row>
    <row r="29" spans="1:25" ht="12.75">
      <c r="A29" s="62"/>
      <c r="B29" s="401"/>
      <c r="C29" s="402"/>
      <c r="D29" s="240"/>
      <c r="E29" s="237"/>
      <c r="F29" s="239"/>
      <c r="G29" s="234">
        <f t="shared" si="0"/>
        <v>0</v>
      </c>
      <c r="H29" s="62"/>
      <c r="I29" s="62"/>
      <c r="J29" s="62"/>
      <c r="K29" s="62"/>
      <c r="L29" s="62"/>
      <c r="M29" s="62"/>
      <c r="N29" s="62"/>
      <c r="O29" s="62"/>
      <c r="P29" s="62"/>
      <c r="Q29" s="62"/>
      <c r="R29" s="58"/>
      <c r="S29" s="58"/>
      <c r="T29" s="58"/>
      <c r="U29" s="58"/>
      <c r="V29" s="58"/>
      <c r="W29" s="58"/>
      <c r="X29" s="58"/>
      <c r="Y29" s="58"/>
    </row>
    <row r="30" spans="1:25" ht="12.75">
      <c r="A30" s="62"/>
      <c r="B30" s="401"/>
      <c r="C30" s="402"/>
      <c r="D30" s="240"/>
      <c r="E30" s="237"/>
      <c r="F30" s="239"/>
      <c r="G30" s="234">
        <f t="shared" si="0"/>
        <v>0</v>
      </c>
      <c r="H30" s="62"/>
      <c r="I30" s="62"/>
      <c r="J30" s="62"/>
      <c r="K30" s="62"/>
      <c r="L30" s="62"/>
      <c r="M30" s="62"/>
      <c r="N30" s="62"/>
      <c r="O30" s="62"/>
      <c r="P30" s="62"/>
      <c r="Q30" s="62"/>
      <c r="R30" s="58"/>
      <c r="S30" s="58"/>
      <c r="T30" s="58"/>
      <c r="U30" s="58"/>
      <c r="V30" s="58"/>
      <c r="W30" s="58"/>
      <c r="X30" s="58"/>
      <c r="Y30" s="58"/>
    </row>
    <row r="31" spans="1:25" ht="12.75">
      <c r="A31" s="62"/>
      <c r="B31" s="401"/>
      <c r="C31" s="402"/>
      <c r="D31" s="240"/>
      <c r="E31" s="237"/>
      <c r="F31" s="239"/>
      <c r="G31" s="234">
        <f t="shared" si="0"/>
        <v>0</v>
      </c>
      <c r="H31" s="62"/>
      <c r="I31" s="62"/>
      <c r="J31" s="62"/>
      <c r="K31" s="62"/>
      <c r="L31" s="62"/>
      <c r="M31" s="62"/>
      <c r="N31" s="58"/>
      <c r="O31" s="58"/>
      <c r="P31" s="58"/>
      <c r="Q31" s="58"/>
      <c r="R31" s="58"/>
      <c r="S31" s="58"/>
      <c r="T31" s="58"/>
      <c r="U31" s="58"/>
      <c r="V31" s="58"/>
      <c r="W31" s="58"/>
      <c r="X31" s="58"/>
      <c r="Y31" s="58"/>
    </row>
    <row r="32" spans="1:25" ht="12.75">
      <c r="A32" s="62"/>
      <c r="B32" s="401"/>
      <c r="C32" s="402"/>
      <c r="D32" s="240"/>
      <c r="E32" s="237"/>
      <c r="F32" s="239"/>
      <c r="G32" s="234">
        <f t="shared" si="0"/>
        <v>0</v>
      </c>
      <c r="H32" s="62"/>
      <c r="I32" s="62"/>
      <c r="J32" s="62"/>
      <c r="K32" s="62"/>
      <c r="L32" s="62"/>
      <c r="M32" s="62"/>
      <c r="N32" s="58"/>
      <c r="O32" s="58"/>
      <c r="P32" s="58"/>
      <c r="Q32" s="58"/>
      <c r="R32" s="58"/>
      <c r="S32" s="58"/>
      <c r="T32" s="58"/>
      <c r="U32" s="58"/>
      <c r="V32" s="58"/>
      <c r="W32" s="58"/>
      <c r="X32" s="58"/>
      <c r="Y32" s="58"/>
    </row>
    <row r="33" spans="1:25" ht="12.75">
      <c r="A33" s="62"/>
      <c r="B33" s="401"/>
      <c r="C33" s="402"/>
      <c r="D33" s="240"/>
      <c r="E33" s="237"/>
      <c r="F33" s="239"/>
      <c r="G33" s="234">
        <f t="shared" si="0"/>
        <v>0</v>
      </c>
      <c r="H33" s="62"/>
      <c r="I33" s="62"/>
      <c r="J33" s="62"/>
      <c r="K33" s="62"/>
      <c r="L33" s="62"/>
      <c r="M33" s="62"/>
      <c r="N33" s="58"/>
      <c r="O33" s="58"/>
      <c r="P33" s="58"/>
      <c r="Q33" s="58"/>
      <c r="R33" s="58"/>
      <c r="S33" s="58"/>
      <c r="T33" s="58"/>
      <c r="U33" s="58"/>
      <c r="V33" s="58"/>
      <c r="W33" s="58"/>
      <c r="X33" s="58"/>
      <c r="Y33" s="58"/>
    </row>
    <row r="34" spans="1:25" ht="12.75">
      <c r="A34" s="62"/>
      <c r="B34" s="401"/>
      <c r="C34" s="402"/>
      <c r="D34" s="240"/>
      <c r="E34" s="237"/>
      <c r="F34" s="239"/>
      <c r="G34" s="234">
        <f t="shared" si="0"/>
        <v>0</v>
      </c>
      <c r="H34" s="62"/>
      <c r="I34" s="62"/>
      <c r="J34" s="62"/>
      <c r="K34" s="62"/>
      <c r="L34" s="62"/>
      <c r="M34" s="62"/>
      <c r="N34" s="58"/>
      <c r="O34" s="58"/>
      <c r="P34" s="58"/>
      <c r="Q34" s="58"/>
      <c r="R34" s="58"/>
      <c r="S34" s="58"/>
      <c r="T34" s="58"/>
      <c r="U34" s="58"/>
      <c r="V34" s="58"/>
      <c r="W34" s="58"/>
      <c r="X34" s="58"/>
      <c r="Y34" s="58"/>
    </row>
    <row r="35" spans="1:25" ht="12.75">
      <c r="A35" s="62"/>
      <c r="B35" s="401"/>
      <c r="C35" s="402"/>
      <c r="D35" s="240"/>
      <c r="E35" s="237"/>
      <c r="F35" s="239"/>
      <c r="G35" s="234">
        <f t="shared" si="0"/>
        <v>0</v>
      </c>
      <c r="H35" s="62"/>
      <c r="I35" s="62"/>
      <c r="J35" s="62"/>
      <c r="K35" s="62"/>
      <c r="L35" s="62"/>
      <c r="M35" s="62"/>
      <c r="N35" s="58"/>
      <c r="O35" s="58"/>
      <c r="P35" s="58"/>
      <c r="Q35" s="58"/>
      <c r="R35" s="58"/>
      <c r="S35" s="58"/>
      <c r="T35" s="58"/>
      <c r="U35" s="58"/>
      <c r="V35" s="58"/>
      <c r="W35" s="58"/>
      <c r="X35" s="58"/>
      <c r="Y35" s="58"/>
    </row>
    <row r="36" spans="1:25" ht="12.75">
      <c r="A36" s="62"/>
      <c r="B36" s="401"/>
      <c r="C36" s="402"/>
      <c r="D36" s="240"/>
      <c r="E36" s="237"/>
      <c r="F36" s="239"/>
      <c r="G36" s="234">
        <f t="shared" si="0"/>
        <v>0</v>
      </c>
      <c r="H36" s="62"/>
      <c r="I36" s="62"/>
      <c r="J36" s="62"/>
      <c r="K36" s="62"/>
      <c r="L36" s="62"/>
      <c r="M36" s="62"/>
      <c r="N36" s="58"/>
      <c r="O36" s="58"/>
      <c r="P36" s="58"/>
      <c r="Q36" s="58"/>
      <c r="R36" s="58"/>
      <c r="S36" s="58"/>
      <c r="T36" s="58"/>
      <c r="U36" s="58"/>
      <c r="V36" s="58"/>
      <c r="W36" s="58"/>
      <c r="X36" s="58"/>
      <c r="Y36" s="58"/>
    </row>
    <row r="37" spans="1:25" ht="12.75">
      <c r="A37" s="62"/>
      <c r="B37" s="401"/>
      <c r="C37" s="402"/>
      <c r="D37" s="240"/>
      <c r="E37" s="237"/>
      <c r="F37" s="239"/>
      <c r="G37" s="234">
        <f t="shared" si="0"/>
        <v>0</v>
      </c>
      <c r="H37" s="62"/>
      <c r="I37" s="62"/>
      <c r="J37" s="62"/>
      <c r="K37" s="62"/>
      <c r="L37" s="62"/>
      <c r="M37" s="62"/>
      <c r="N37" s="58"/>
      <c r="O37" s="58"/>
      <c r="P37" s="58"/>
      <c r="Q37" s="58"/>
      <c r="R37" s="58"/>
      <c r="S37" s="58"/>
      <c r="T37" s="58"/>
      <c r="U37" s="58"/>
      <c r="V37" s="58"/>
      <c r="W37" s="58"/>
      <c r="X37" s="58"/>
      <c r="Y37" s="58"/>
    </row>
    <row r="38" spans="1:25" ht="12.75">
      <c r="A38" s="58"/>
      <c r="B38" s="401"/>
      <c r="C38" s="402"/>
      <c r="D38" s="240"/>
      <c r="E38" s="237"/>
      <c r="F38" s="239"/>
      <c r="G38" s="234">
        <f t="shared" si="0"/>
        <v>0</v>
      </c>
      <c r="H38" s="58"/>
      <c r="I38" s="58"/>
      <c r="J38" s="58"/>
      <c r="K38" s="58"/>
      <c r="L38" s="58"/>
      <c r="M38" s="58"/>
      <c r="N38" s="58"/>
      <c r="O38" s="58"/>
      <c r="P38" s="58"/>
      <c r="Q38" s="58"/>
      <c r="R38" s="58"/>
      <c r="S38" s="58"/>
      <c r="T38" s="58"/>
      <c r="U38" s="58"/>
      <c r="V38" s="58"/>
      <c r="W38" s="58"/>
      <c r="X38" s="58"/>
      <c r="Y38" s="58"/>
    </row>
    <row r="39" spans="1:25" ht="12.75">
      <c r="A39" s="58"/>
      <c r="B39" s="401"/>
      <c r="C39" s="402"/>
      <c r="D39" s="240"/>
      <c r="E39" s="237"/>
      <c r="F39" s="239"/>
      <c r="G39" s="234">
        <f t="shared" si="0"/>
        <v>0</v>
      </c>
      <c r="H39" s="58"/>
      <c r="I39" s="58"/>
      <c r="J39" s="58"/>
      <c r="K39" s="58"/>
      <c r="L39" s="58"/>
      <c r="M39" s="58"/>
      <c r="N39" s="58"/>
      <c r="O39" s="58"/>
      <c r="P39" s="58"/>
      <c r="Q39" s="58"/>
      <c r="R39" s="58"/>
      <c r="S39" s="58"/>
      <c r="T39" s="58"/>
      <c r="U39" s="58"/>
      <c r="V39" s="58"/>
      <c r="W39" s="58"/>
      <c r="X39" s="58"/>
      <c r="Y39" s="58"/>
    </row>
    <row r="40" spans="1:25" ht="12.75">
      <c r="A40" s="58"/>
      <c r="B40" s="401"/>
      <c r="C40" s="402"/>
      <c r="D40" s="240"/>
      <c r="E40" s="237"/>
      <c r="F40" s="239"/>
      <c r="G40" s="234">
        <f t="shared" si="0"/>
        <v>0</v>
      </c>
      <c r="H40" s="58"/>
      <c r="I40" s="58"/>
      <c r="J40" s="58"/>
      <c r="K40" s="58"/>
      <c r="L40" s="58"/>
      <c r="M40" s="58"/>
      <c r="N40" s="58"/>
      <c r="O40" s="58"/>
      <c r="P40" s="58"/>
      <c r="Q40" s="58"/>
      <c r="R40" s="58"/>
      <c r="S40" s="58"/>
      <c r="T40" s="58"/>
      <c r="U40" s="58"/>
      <c r="V40" s="58"/>
      <c r="W40" s="58"/>
      <c r="X40" s="58"/>
      <c r="Y40" s="58"/>
    </row>
    <row r="41" spans="1:25" ht="12.75">
      <c r="A41" s="58"/>
      <c r="B41" s="401"/>
      <c r="C41" s="402"/>
      <c r="D41" s="240"/>
      <c r="E41" s="237"/>
      <c r="F41" s="239"/>
      <c r="G41" s="234">
        <f t="shared" si="0"/>
        <v>0</v>
      </c>
      <c r="H41" s="58"/>
      <c r="I41" s="58"/>
      <c r="J41" s="58"/>
      <c r="K41" s="58"/>
      <c r="L41" s="58"/>
      <c r="M41" s="58"/>
      <c r="N41" s="58"/>
      <c r="O41" s="58"/>
      <c r="P41" s="58"/>
      <c r="Q41" s="58"/>
      <c r="R41" s="58"/>
      <c r="S41" s="58"/>
      <c r="T41" s="58"/>
      <c r="U41" s="58"/>
      <c r="V41" s="58"/>
      <c r="W41" s="58"/>
      <c r="X41" s="58"/>
      <c r="Y41" s="58"/>
    </row>
    <row r="42" spans="1:25" ht="12.75">
      <c r="A42" s="58"/>
      <c r="B42" s="401"/>
      <c r="C42" s="402"/>
      <c r="D42" s="240"/>
      <c r="E42" s="237"/>
      <c r="F42" s="239"/>
      <c r="G42" s="234">
        <f t="shared" si="0"/>
        <v>0</v>
      </c>
      <c r="H42" s="58"/>
      <c r="I42" s="58"/>
      <c r="J42" s="58"/>
      <c r="K42" s="58"/>
      <c r="L42" s="58"/>
      <c r="M42" s="58"/>
      <c r="N42" s="58"/>
      <c r="O42" s="58"/>
      <c r="P42" s="58"/>
      <c r="Q42" s="58"/>
      <c r="R42" s="58"/>
      <c r="S42" s="58"/>
      <c r="T42" s="58"/>
      <c r="U42" s="58"/>
      <c r="V42" s="58"/>
      <c r="W42" s="58"/>
      <c r="X42" s="58"/>
      <c r="Y42" s="58"/>
    </row>
    <row r="43" spans="1:25" ht="12.75">
      <c r="A43" s="58"/>
      <c r="B43" s="401"/>
      <c r="C43" s="402"/>
      <c r="D43" s="240"/>
      <c r="E43" s="237"/>
      <c r="F43" s="239"/>
      <c r="G43" s="234">
        <f t="shared" si="0"/>
        <v>0</v>
      </c>
      <c r="H43" s="58"/>
      <c r="I43" s="58"/>
      <c r="J43" s="58"/>
      <c r="K43" s="58"/>
      <c r="L43" s="58"/>
      <c r="M43" s="58"/>
      <c r="N43" s="58"/>
      <c r="O43" s="58"/>
      <c r="P43" s="58"/>
      <c r="Q43" s="58"/>
      <c r="R43" s="58"/>
      <c r="S43" s="58"/>
      <c r="T43" s="58"/>
      <c r="U43" s="58"/>
      <c r="V43" s="58"/>
      <c r="W43" s="58"/>
      <c r="X43" s="58"/>
      <c r="Y43" s="58"/>
    </row>
    <row r="44" spans="1:25" ht="12.75">
      <c r="A44" s="58"/>
      <c r="B44" s="401"/>
      <c r="C44" s="402"/>
      <c r="D44" s="240"/>
      <c r="E44" s="237"/>
      <c r="F44" s="239"/>
      <c r="G44" s="234">
        <f t="shared" si="0"/>
        <v>0</v>
      </c>
      <c r="H44" s="58"/>
      <c r="I44" s="58"/>
      <c r="J44" s="58"/>
      <c r="K44" s="58"/>
      <c r="L44" s="58"/>
      <c r="M44" s="58"/>
      <c r="N44" s="58"/>
      <c r="O44" s="58"/>
      <c r="P44" s="58"/>
      <c r="Q44" s="58"/>
      <c r="R44" s="58"/>
      <c r="S44" s="58"/>
      <c r="T44" s="58"/>
      <c r="U44" s="58"/>
      <c r="V44" s="58"/>
      <c r="W44" s="58"/>
      <c r="X44" s="58"/>
      <c r="Y44" s="58"/>
    </row>
    <row r="45" spans="1:25" ht="12.75">
      <c r="A45" s="58"/>
      <c r="B45" s="401"/>
      <c r="C45" s="402"/>
      <c r="D45" s="240"/>
      <c r="E45" s="237"/>
      <c r="F45" s="239"/>
      <c r="G45" s="234">
        <f t="shared" si="0"/>
        <v>0</v>
      </c>
      <c r="H45" s="58"/>
      <c r="I45" s="58"/>
      <c r="J45" s="58"/>
      <c r="K45" s="58"/>
      <c r="L45" s="58"/>
      <c r="M45" s="58"/>
      <c r="N45" s="58"/>
      <c r="O45" s="58"/>
      <c r="P45" s="58"/>
      <c r="Q45" s="58"/>
      <c r="R45" s="58"/>
      <c r="S45" s="58"/>
      <c r="T45" s="58"/>
      <c r="U45" s="58"/>
      <c r="V45" s="58"/>
      <c r="W45" s="58"/>
      <c r="X45" s="58"/>
      <c r="Y45" s="58"/>
    </row>
    <row r="46" spans="1:25" ht="12.75">
      <c r="A46" s="58"/>
      <c r="B46" s="401"/>
      <c r="C46" s="402"/>
      <c r="D46" s="240"/>
      <c r="E46" s="237"/>
      <c r="F46" s="239"/>
      <c r="G46" s="234">
        <f t="shared" si="0"/>
        <v>0</v>
      </c>
      <c r="H46" s="58"/>
      <c r="I46" s="58"/>
      <c r="J46" s="58"/>
      <c r="K46" s="58"/>
      <c r="L46" s="58"/>
      <c r="M46" s="58"/>
      <c r="N46" s="58"/>
      <c r="O46" s="58"/>
      <c r="P46" s="58"/>
      <c r="Q46" s="58"/>
      <c r="R46" s="58"/>
      <c r="S46" s="58"/>
      <c r="T46" s="58"/>
      <c r="U46" s="58"/>
      <c r="V46" s="58"/>
      <c r="W46" s="58"/>
      <c r="X46" s="58"/>
      <c r="Y46" s="58"/>
    </row>
    <row r="47" spans="1:25" ht="12.75">
      <c r="A47" s="58"/>
      <c r="B47" s="403"/>
      <c r="C47" s="403"/>
      <c r="D47" s="241"/>
      <c r="E47" s="242"/>
      <c r="F47" s="250" t="s">
        <v>62</v>
      </c>
      <c r="G47" s="236">
        <f>SUM(G22:G46)</f>
        <v>0</v>
      </c>
      <c r="H47" s="179" t="s">
        <v>296</v>
      </c>
      <c r="I47" s="58"/>
      <c r="J47" s="58"/>
      <c r="K47" s="58"/>
      <c r="L47" s="58"/>
      <c r="M47" s="58"/>
      <c r="N47" s="58"/>
      <c r="O47" s="58"/>
      <c r="P47" s="58"/>
      <c r="Q47" s="58"/>
      <c r="R47" s="58"/>
      <c r="S47" s="58"/>
      <c r="T47" s="58"/>
      <c r="U47" s="58"/>
      <c r="V47" s="58"/>
      <c r="W47" s="58"/>
      <c r="X47" s="58"/>
      <c r="Y47" s="58"/>
    </row>
    <row r="48" spans="1:25"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58"/>
    </row>
    <row r="49" spans="1:25" ht="12.75">
      <c r="A49" s="58"/>
      <c r="B49" s="179" t="s">
        <v>256</v>
      </c>
      <c r="C49" s="58"/>
      <c r="D49" s="58"/>
      <c r="E49" s="58"/>
      <c r="F49" s="58"/>
      <c r="G49" s="58"/>
      <c r="H49" s="58"/>
      <c r="I49" s="58"/>
      <c r="J49" s="58"/>
      <c r="K49" s="58"/>
      <c r="L49" s="58"/>
      <c r="M49" s="58"/>
      <c r="N49" s="58"/>
      <c r="O49" s="58"/>
      <c r="P49" s="58"/>
      <c r="Q49" s="58"/>
      <c r="R49" s="58"/>
      <c r="S49" s="58"/>
      <c r="T49" s="58"/>
      <c r="U49" s="58"/>
      <c r="V49" s="58"/>
      <c r="W49" s="58"/>
      <c r="X49" s="58"/>
      <c r="Y49" s="58"/>
    </row>
    <row r="50" spans="1:25" ht="12.75">
      <c r="A50" s="58"/>
      <c r="B50" s="179" t="s">
        <v>257</v>
      </c>
      <c r="C50" s="58"/>
      <c r="D50" s="58"/>
      <c r="E50" s="58"/>
      <c r="F50" s="58"/>
      <c r="G50" s="58"/>
      <c r="H50" s="58"/>
      <c r="I50" s="58"/>
      <c r="J50" s="58"/>
      <c r="K50" s="58"/>
      <c r="L50" s="58"/>
      <c r="M50" s="58"/>
      <c r="N50" s="58"/>
      <c r="O50" s="58"/>
      <c r="P50" s="58"/>
      <c r="Q50" s="58"/>
      <c r="R50" s="58"/>
      <c r="S50" s="58"/>
      <c r="T50" s="58"/>
      <c r="U50" s="58"/>
      <c r="V50" s="58"/>
      <c r="W50" s="58"/>
      <c r="X50" s="58"/>
      <c r="Y50" s="58"/>
    </row>
    <row r="51" spans="1:25"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row>
    <row r="52" spans="1:25"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row>
    <row r="53" spans="1:25"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58"/>
    </row>
    <row r="54" spans="1:25" ht="12.75">
      <c r="A54" s="58"/>
      <c r="B54" s="58"/>
      <c r="C54" s="58"/>
      <c r="D54" s="58"/>
      <c r="E54" s="58"/>
      <c r="F54" s="58"/>
      <c r="G54" s="58"/>
      <c r="H54" s="58"/>
      <c r="I54" s="58"/>
      <c r="J54" s="58"/>
      <c r="K54" s="58"/>
      <c r="L54" s="58"/>
      <c r="M54" s="58"/>
      <c r="N54" s="58"/>
      <c r="O54" s="58"/>
      <c r="P54" s="58"/>
      <c r="Q54" s="58"/>
      <c r="R54" s="58"/>
      <c r="S54" s="58"/>
      <c r="T54" s="58"/>
      <c r="U54" s="58"/>
      <c r="V54" s="58"/>
      <c r="W54" s="58"/>
      <c r="X54" s="58"/>
      <c r="Y54" s="58"/>
    </row>
    <row r="55" spans="1:25" ht="12.75">
      <c r="A55" s="58"/>
      <c r="B55" s="58"/>
      <c r="C55" s="58"/>
      <c r="D55" s="58"/>
      <c r="E55" s="58"/>
      <c r="F55" s="58"/>
      <c r="G55" s="58"/>
      <c r="H55" s="58"/>
      <c r="I55" s="58"/>
      <c r="J55" s="58"/>
      <c r="K55" s="58"/>
      <c r="L55" s="58"/>
      <c r="M55" s="58"/>
      <c r="N55" s="58"/>
      <c r="O55" s="58"/>
      <c r="P55" s="58"/>
      <c r="Q55" s="58"/>
      <c r="R55" s="58"/>
      <c r="S55" s="58"/>
      <c r="T55" s="58"/>
      <c r="U55" s="58"/>
      <c r="V55" s="58"/>
      <c r="W55" s="58"/>
      <c r="X55" s="58"/>
      <c r="Y55" s="58"/>
    </row>
    <row r="56" spans="1:25" ht="12.75">
      <c r="A56" s="58"/>
      <c r="B56" s="58"/>
      <c r="C56" s="58"/>
      <c r="D56" s="58"/>
      <c r="E56" s="58"/>
      <c r="F56" s="58"/>
      <c r="G56" s="58"/>
      <c r="H56" s="58"/>
      <c r="I56" s="58"/>
      <c r="J56" s="58"/>
      <c r="K56" s="58"/>
      <c r="L56" s="58"/>
      <c r="M56" s="58"/>
      <c r="N56" s="58"/>
      <c r="O56" s="58"/>
      <c r="P56" s="58"/>
      <c r="Q56" s="58"/>
      <c r="R56" s="58"/>
      <c r="S56" s="58"/>
      <c r="T56" s="58"/>
      <c r="U56" s="58"/>
      <c r="V56" s="58"/>
      <c r="W56" s="58"/>
      <c r="X56" s="58"/>
      <c r="Y56" s="58"/>
    </row>
    <row r="57" spans="1:25" ht="12.75">
      <c r="A57" s="58"/>
      <c r="B57" s="58"/>
      <c r="C57" s="58"/>
      <c r="D57" s="58"/>
      <c r="E57" s="58"/>
      <c r="F57" s="58"/>
      <c r="G57" s="58"/>
      <c r="H57" s="58"/>
      <c r="I57" s="58"/>
      <c r="J57" s="58"/>
      <c r="K57" s="58"/>
      <c r="L57" s="58"/>
      <c r="M57" s="58"/>
      <c r="N57" s="58"/>
      <c r="O57" s="58"/>
      <c r="P57" s="58"/>
      <c r="Q57" s="58"/>
      <c r="R57" s="58"/>
      <c r="S57" s="58"/>
      <c r="T57" s="58"/>
      <c r="U57" s="58"/>
      <c r="V57" s="58"/>
      <c r="W57" s="58"/>
      <c r="X57" s="58"/>
      <c r="Y57" s="58"/>
    </row>
    <row r="58" spans="1:25" ht="12.75">
      <c r="A58" s="58"/>
      <c r="B58" s="58"/>
      <c r="C58" s="58"/>
      <c r="D58" s="58"/>
      <c r="E58" s="58"/>
      <c r="F58" s="58"/>
      <c r="G58" s="58"/>
      <c r="H58" s="58"/>
      <c r="I58" s="58"/>
      <c r="J58" s="58"/>
      <c r="K58" s="58"/>
      <c r="L58" s="58"/>
      <c r="M58" s="58"/>
      <c r="N58" s="58"/>
      <c r="O58" s="58"/>
      <c r="P58" s="58"/>
      <c r="Q58" s="58"/>
      <c r="R58" s="58"/>
      <c r="S58" s="58"/>
      <c r="T58" s="58"/>
      <c r="U58" s="58"/>
      <c r="V58" s="58"/>
      <c r="W58" s="58"/>
      <c r="X58" s="58"/>
      <c r="Y58" s="58"/>
    </row>
    <row r="59" spans="1:25" ht="12.75">
      <c r="A59" s="58"/>
      <c r="B59" s="58"/>
      <c r="C59" s="58"/>
      <c r="D59" s="58"/>
      <c r="E59" s="58"/>
      <c r="F59" s="58"/>
      <c r="G59" s="58"/>
      <c r="H59" s="58"/>
      <c r="I59" s="58"/>
      <c r="J59" s="58"/>
      <c r="K59" s="58"/>
      <c r="L59" s="58"/>
      <c r="M59" s="58"/>
      <c r="N59" s="58"/>
      <c r="O59" s="58"/>
      <c r="P59" s="58"/>
      <c r="Q59" s="58"/>
      <c r="R59" s="58"/>
      <c r="S59" s="58"/>
      <c r="T59" s="58"/>
      <c r="U59" s="58"/>
      <c r="V59" s="58"/>
      <c r="W59" s="58"/>
      <c r="X59" s="58"/>
      <c r="Y59" s="58"/>
    </row>
    <row r="60" spans="1:25" ht="12.75">
      <c r="A60" s="58"/>
      <c r="B60" s="58"/>
      <c r="C60" s="58"/>
      <c r="D60" s="58"/>
      <c r="E60" s="58"/>
      <c r="F60" s="58"/>
      <c r="G60" s="58"/>
      <c r="H60" s="58"/>
      <c r="I60" s="58"/>
      <c r="J60" s="58"/>
      <c r="K60" s="58"/>
      <c r="L60" s="58"/>
      <c r="M60" s="58"/>
      <c r="N60" s="58"/>
      <c r="O60" s="58"/>
      <c r="P60" s="58"/>
      <c r="Q60" s="58"/>
      <c r="R60" s="58"/>
      <c r="S60" s="58"/>
      <c r="T60" s="58"/>
      <c r="U60" s="58"/>
      <c r="V60" s="58"/>
      <c r="W60" s="58"/>
      <c r="X60" s="58"/>
      <c r="Y60" s="58"/>
    </row>
    <row r="61" spans="1:25" ht="12.75">
      <c r="A61" s="58"/>
      <c r="B61" s="58"/>
      <c r="C61" s="58"/>
      <c r="D61" s="58"/>
      <c r="E61" s="58"/>
      <c r="F61" s="58"/>
      <c r="G61" s="58"/>
      <c r="H61" s="58"/>
      <c r="I61" s="58"/>
      <c r="J61" s="58"/>
      <c r="K61" s="58"/>
      <c r="L61" s="58"/>
      <c r="M61" s="58"/>
      <c r="N61" s="58"/>
      <c r="O61" s="58"/>
      <c r="P61" s="58"/>
      <c r="Q61" s="58"/>
      <c r="R61" s="58"/>
      <c r="S61" s="58"/>
      <c r="T61" s="58"/>
      <c r="U61" s="58"/>
      <c r="V61" s="58"/>
      <c r="W61" s="58"/>
      <c r="X61" s="58"/>
      <c r="Y61" s="58"/>
    </row>
    <row r="62" spans="1:25" ht="12.75">
      <c r="A62" s="58"/>
      <c r="B62" s="58"/>
      <c r="C62" s="58"/>
      <c r="D62" s="58"/>
      <c r="E62" s="58"/>
      <c r="F62" s="58"/>
      <c r="G62" s="58"/>
      <c r="H62" s="58"/>
      <c r="I62" s="58"/>
      <c r="J62" s="58"/>
      <c r="K62" s="58"/>
      <c r="L62" s="58"/>
      <c r="M62" s="58"/>
      <c r="N62" s="58"/>
      <c r="O62" s="58"/>
      <c r="P62" s="58"/>
      <c r="Q62" s="58"/>
      <c r="R62" s="58"/>
      <c r="S62" s="58"/>
      <c r="T62" s="58"/>
      <c r="U62" s="58"/>
      <c r="V62" s="58"/>
      <c r="W62" s="58"/>
      <c r="X62" s="58"/>
      <c r="Y62" s="58"/>
    </row>
    <row r="63" spans="1:25" ht="12.75">
      <c r="A63" s="58"/>
      <c r="B63" s="58"/>
      <c r="C63" s="58"/>
      <c r="D63" s="58"/>
      <c r="E63" s="58"/>
      <c r="F63" s="58"/>
      <c r="G63" s="58"/>
      <c r="H63" s="58"/>
      <c r="I63" s="58"/>
      <c r="J63" s="58"/>
      <c r="K63" s="58"/>
      <c r="L63" s="58"/>
      <c r="M63" s="58"/>
      <c r="N63" s="58"/>
      <c r="O63" s="58"/>
      <c r="P63" s="58"/>
      <c r="Q63" s="58"/>
      <c r="R63" s="58"/>
      <c r="S63" s="58"/>
      <c r="T63" s="58"/>
      <c r="U63" s="58"/>
      <c r="V63" s="58"/>
      <c r="W63" s="58"/>
      <c r="X63" s="58"/>
      <c r="Y63" s="58"/>
    </row>
    <row r="64" spans="1:25" ht="12.75">
      <c r="A64" s="58"/>
      <c r="B64" s="58"/>
      <c r="C64" s="58"/>
      <c r="D64" s="58"/>
      <c r="E64" s="58"/>
      <c r="F64" s="58"/>
      <c r="G64" s="58"/>
      <c r="H64" s="58"/>
      <c r="I64" s="58"/>
      <c r="J64" s="58"/>
      <c r="K64" s="58"/>
      <c r="L64" s="58"/>
      <c r="M64" s="58"/>
      <c r="N64" s="58"/>
      <c r="O64" s="58"/>
      <c r="P64" s="58"/>
      <c r="Q64" s="58"/>
      <c r="R64" s="58"/>
      <c r="S64" s="58"/>
      <c r="T64" s="58"/>
      <c r="U64" s="58"/>
      <c r="V64" s="58"/>
      <c r="W64" s="58"/>
      <c r="X64" s="58"/>
      <c r="Y64" s="58"/>
    </row>
    <row r="65" spans="1:25" ht="12.75">
      <c r="A65" s="58"/>
      <c r="B65" s="58"/>
      <c r="C65" s="58"/>
      <c r="D65" s="58"/>
      <c r="E65" s="58"/>
      <c r="F65" s="58"/>
      <c r="G65" s="58"/>
      <c r="H65" s="58"/>
      <c r="I65" s="58"/>
      <c r="J65" s="58"/>
      <c r="K65" s="58"/>
      <c r="L65" s="58"/>
      <c r="M65" s="58"/>
      <c r="N65" s="58"/>
      <c r="O65" s="58"/>
      <c r="P65" s="58"/>
      <c r="Q65" s="58"/>
      <c r="R65" s="58"/>
      <c r="S65" s="58"/>
      <c r="T65" s="58"/>
      <c r="U65" s="58"/>
      <c r="V65" s="58"/>
      <c r="W65" s="58"/>
      <c r="X65" s="58"/>
      <c r="Y65" s="58"/>
    </row>
    <row r="66" spans="1:25" ht="12.75">
      <c r="A66" s="58"/>
      <c r="B66" s="58"/>
      <c r="C66" s="58"/>
      <c r="D66" s="58"/>
      <c r="E66" s="58"/>
      <c r="F66" s="58"/>
      <c r="G66" s="58"/>
      <c r="H66" s="58"/>
      <c r="I66" s="58"/>
      <c r="J66" s="58"/>
      <c r="K66" s="58"/>
      <c r="L66" s="58"/>
      <c r="M66" s="58"/>
      <c r="N66" s="58"/>
      <c r="O66" s="58"/>
      <c r="P66" s="58"/>
      <c r="Q66" s="58"/>
      <c r="R66" s="58"/>
      <c r="S66" s="58"/>
      <c r="T66" s="58"/>
      <c r="U66" s="58"/>
      <c r="V66" s="58"/>
      <c r="W66" s="58"/>
      <c r="X66" s="58"/>
      <c r="Y66" s="58"/>
    </row>
    <row r="67" spans="1:25" ht="12.75">
      <c r="A67" s="58"/>
      <c r="B67" s="58"/>
      <c r="C67" s="58"/>
      <c r="D67" s="58"/>
      <c r="E67" s="58"/>
      <c r="F67" s="58"/>
      <c r="G67" s="58"/>
      <c r="H67" s="58"/>
      <c r="I67" s="58"/>
      <c r="J67" s="58"/>
      <c r="K67" s="58"/>
      <c r="L67" s="58"/>
      <c r="M67" s="58"/>
      <c r="N67" s="58"/>
      <c r="O67" s="58"/>
      <c r="P67" s="58"/>
      <c r="Q67" s="58"/>
      <c r="R67" s="58"/>
      <c r="S67" s="58"/>
      <c r="T67" s="58"/>
      <c r="U67" s="58"/>
      <c r="V67" s="58"/>
      <c r="W67" s="58"/>
      <c r="X67" s="58"/>
      <c r="Y67" s="58"/>
    </row>
    <row r="68" spans="1:25" ht="12.75">
      <c r="A68" s="58"/>
      <c r="B68" s="58"/>
      <c r="C68" s="58"/>
      <c r="D68" s="58"/>
      <c r="E68" s="58"/>
      <c r="F68" s="58"/>
      <c r="G68" s="58"/>
      <c r="H68" s="58"/>
      <c r="I68" s="58"/>
      <c r="J68" s="58"/>
      <c r="K68" s="58"/>
      <c r="L68" s="58"/>
      <c r="M68" s="58"/>
      <c r="N68" s="58"/>
      <c r="O68" s="58"/>
      <c r="P68" s="58"/>
      <c r="Q68" s="58"/>
      <c r="R68" s="58"/>
      <c r="S68" s="58"/>
      <c r="T68" s="58"/>
      <c r="U68" s="58"/>
      <c r="V68" s="58"/>
      <c r="W68" s="58"/>
      <c r="X68" s="58"/>
      <c r="Y68" s="58"/>
    </row>
    <row r="69" spans="1:25" ht="12.75">
      <c r="A69" s="58"/>
      <c r="B69" s="58"/>
      <c r="C69" s="58"/>
      <c r="D69" s="58"/>
      <c r="E69" s="58"/>
      <c r="F69" s="58"/>
      <c r="G69" s="58"/>
      <c r="H69" s="58"/>
      <c r="I69" s="58"/>
      <c r="J69" s="58"/>
      <c r="K69" s="58"/>
      <c r="L69" s="58"/>
      <c r="M69" s="58"/>
      <c r="N69" s="58"/>
      <c r="O69" s="58"/>
      <c r="P69" s="58"/>
      <c r="Q69" s="58"/>
      <c r="R69" s="58"/>
      <c r="S69" s="58"/>
      <c r="T69" s="58"/>
      <c r="U69" s="58"/>
      <c r="V69" s="58"/>
      <c r="W69" s="58"/>
      <c r="X69" s="58"/>
      <c r="Y69" s="58"/>
    </row>
    <row r="70" spans="1:25" ht="12.75">
      <c r="A70" s="58"/>
      <c r="B70" s="58"/>
      <c r="C70" s="58"/>
      <c r="D70" s="58"/>
      <c r="E70" s="58"/>
      <c r="F70" s="58"/>
      <c r="G70" s="58"/>
      <c r="H70" s="58"/>
      <c r="I70" s="58"/>
      <c r="J70" s="58"/>
      <c r="K70" s="58"/>
      <c r="L70" s="58"/>
      <c r="M70" s="58"/>
      <c r="N70" s="58"/>
      <c r="O70" s="58"/>
      <c r="P70" s="58"/>
      <c r="Q70" s="58"/>
      <c r="R70" s="58"/>
      <c r="S70" s="58"/>
      <c r="T70" s="58"/>
      <c r="U70" s="58"/>
      <c r="V70" s="58"/>
      <c r="W70" s="58"/>
      <c r="X70" s="58"/>
      <c r="Y70" s="58"/>
    </row>
    <row r="71" spans="1:25" ht="12.75">
      <c r="A71" s="58"/>
      <c r="B71" s="58"/>
      <c r="C71" s="58"/>
      <c r="D71" s="58"/>
      <c r="E71" s="58"/>
      <c r="F71" s="58"/>
      <c r="G71" s="58"/>
      <c r="H71" s="58"/>
      <c r="I71" s="58"/>
      <c r="J71" s="58"/>
      <c r="K71" s="58"/>
      <c r="L71" s="58"/>
      <c r="M71" s="58"/>
      <c r="N71" s="58"/>
      <c r="O71" s="58"/>
      <c r="P71" s="58"/>
      <c r="Q71" s="58"/>
      <c r="R71" s="58"/>
      <c r="S71" s="58"/>
      <c r="T71" s="58"/>
      <c r="U71" s="58"/>
      <c r="V71" s="58"/>
      <c r="W71" s="58"/>
      <c r="X71" s="58"/>
      <c r="Y71" s="58"/>
    </row>
    <row r="72" spans="1:25" ht="12.75">
      <c r="A72" s="58"/>
      <c r="B72" s="58"/>
      <c r="C72" s="58"/>
      <c r="D72" s="58"/>
      <c r="E72" s="58"/>
      <c r="F72" s="58"/>
      <c r="G72" s="58"/>
      <c r="H72" s="58"/>
      <c r="I72" s="58"/>
      <c r="J72" s="58"/>
      <c r="K72" s="58"/>
      <c r="L72" s="58"/>
      <c r="M72" s="58"/>
      <c r="N72" s="58"/>
      <c r="O72" s="58"/>
      <c r="P72" s="58"/>
      <c r="Q72" s="58"/>
      <c r="R72" s="58"/>
      <c r="S72" s="58"/>
      <c r="T72" s="58"/>
      <c r="U72" s="58"/>
      <c r="V72" s="58"/>
      <c r="W72" s="58"/>
      <c r="X72" s="58"/>
      <c r="Y72" s="58"/>
    </row>
    <row r="73" spans="1:25" ht="12.75">
      <c r="A73" s="58"/>
      <c r="B73" s="58"/>
      <c r="C73" s="58"/>
      <c r="D73" s="58"/>
      <c r="E73" s="58"/>
      <c r="F73" s="58"/>
      <c r="G73" s="58"/>
      <c r="H73" s="58"/>
      <c r="I73" s="58"/>
      <c r="J73" s="58"/>
      <c r="K73" s="58"/>
      <c r="L73" s="58"/>
      <c r="M73" s="58"/>
      <c r="N73" s="58"/>
      <c r="O73" s="58"/>
      <c r="P73" s="58"/>
      <c r="Q73" s="58"/>
      <c r="R73" s="58"/>
      <c r="S73" s="58"/>
      <c r="T73" s="58"/>
      <c r="U73" s="58"/>
      <c r="V73" s="58"/>
      <c r="W73" s="58"/>
      <c r="X73" s="58"/>
      <c r="Y73" s="58"/>
    </row>
    <row r="74" spans="1:25" ht="12.75">
      <c r="A74" s="58"/>
      <c r="B74" s="58"/>
      <c r="C74" s="58"/>
      <c r="D74" s="58"/>
      <c r="E74" s="58"/>
      <c r="F74" s="58"/>
      <c r="G74" s="58"/>
      <c r="H74" s="58"/>
      <c r="I74" s="58"/>
      <c r="J74" s="58"/>
      <c r="K74" s="58"/>
      <c r="L74" s="58"/>
      <c r="M74" s="58"/>
      <c r="N74" s="58"/>
      <c r="O74" s="58"/>
      <c r="P74" s="58"/>
      <c r="Q74" s="58"/>
      <c r="R74" s="58"/>
      <c r="S74" s="58"/>
      <c r="T74" s="58"/>
      <c r="U74" s="58"/>
      <c r="V74" s="58"/>
      <c r="W74" s="58"/>
      <c r="X74" s="58"/>
      <c r="Y74" s="58"/>
    </row>
    <row r="75" spans="1:25" ht="12.75">
      <c r="A75" s="58"/>
      <c r="B75" s="58"/>
      <c r="C75" s="58"/>
      <c r="D75" s="58"/>
      <c r="E75" s="58"/>
      <c r="F75" s="58"/>
      <c r="G75" s="58"/>
      <c r="H75" s="58"/>
      <c r="I75" s="58"/>
      <c r="J75" s="58"/>
      <c r="K75" s="58"/>
      <c r="L75" s="58"/>
      <c r="M75" s="58"/>
      <c r="N75" s="58"/>
      <c r="O75" s="58"/>
      <c r="P75" s="58"/>
      <c r="Q75" s="58"/>
      <c r="R75" s="58"/>
      <c r="S75" s="58"/>
      <c r="T75" s="58"/>
      <c r="U75" s="58"/>
      <c r="V75" s="58"/>
      <c r="W75" s="58"/>
      <c r="X75" s="58"/>
      <c r="Y75" s="58"/>
    </row>
    <row r="76" spans="1:25" ht="12.75">
      <c r="A76" s="58"/>
      <c r="B76" s="58"/>
      <c r="C76" s="58"/>
      <c r="D76" s="58"/>
      <c r="E76" s="58"/>
      <c r="F76" s="58"/>
      <c r="G76" s="58"/>
      <c r="H76" s="58"/>
      <c r="I76" s="58"/>
      <c r="J76" s="58"/>
      <c r="K76" s="58"/>
      <c r="L76" s="58"/>
      <c r="M76" s="58"/>
      <c r="N76" s="58"/>
      <c r="O76" s="58"/>
      <c r="P76" s="58"/>
      <c r="Q76" s="58"/>
      <c r="R76" s="58"/>
      <c r="S76" s="58"/>
      <c r="T76" s="58"/>
      <c r="U76" s="58"/>
      <c r="V76" s="58"/>
      <c r="W76" s="58"/>
      <c r="X76" s="58"/>
      <c r="Y76" s="58"/>
    </row>
    <row r="77" spans="1:25" ht="12.75">
      <c r="A77" s="58"/>
      <c r="B77" s="58"/>
      <c r="C77" s="58"/>
      <c r="D77" s="58"/>
      <c r="E77" s="58"/>
      <c r="F77" s="58"/>
      <c r="G77" s="58"/>
      <c r="H77" s="58"/>
      <c r="I77" s="58"/>
      <c r="J77" s="58"/>
      <c r="K77" s="58"/>
      <c r="L77" s="58"/>
      <c r="M77" s="58"/>
      <c r="N77" s="58"/>
      <c r="O77" s="58"/>
      <c r="P77" s="58"/>
      <c r="Q77" s="58"/>
      <c r="R77" s="58"/>
      <c r="S77" s="58"/>
      <c r="T77" s="58"/>
      <c r="U77" s="58"/>
      <c r="V77" s="58"/>
      <c r="W77" s="58"/>
      <c r="X77" s="58"/>
      <c r="Y77" s="58"/>
    </row>
    <row r="78" spans="1:25" ht="12.75">
      <c r="A78" s="58"/>
      <c r="B78" s="58"/>
      <c r="C78" s="58"/>
      <c r="D78" s="58"/>
      <c r="E78" s="58"/>
      <c r="F78" s="58"/>
      <c r="G78" s="58"/>
      <c r="H78" s="58"/>
      <c r="I78" s="58"/>
      <c r="J78" s="58"/>
      <c r="K78" s="58"/>
      <c r="L78" s="58"/>
      <c r="M78" s="58"/>
      <c r="N78" s="58"/>
      <c r="O78" s="58"/>
      <c r="P78" s="58"/>
      <c r="Q78" s="58"/>
      <c r="R78" s="58"/>
      <c r="S78" s="58"/>
      <c r="T78" s="58"/>
      <c r="U78" s="58"/>
      <c r="V78" s="58"/>
      <c r="W78" s="58"/>
      <c r="X78" s="58"/>
      <c r="Y78" s="58"/>
    </row>
  </sheetData>
  <sheetProtection/>
  <mergeCells count="33">
    <mergeCell ref="C6:G6"/>
    <mergeCell ref="B13:C13"/>
    <mergeCell ref="B8:C8"/>
    <mergeCell ref="B10:C10"/>
    <mergeCell ref="B12:C12"/>
    <mergeCell ref="B21:C21"/>
    <mergeCell ref="B19:I19"/>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45:C45"/>
    <mergeCell ref="B46:C46"/>
    <mergeCell ref="B47:C47"/>
    <mergeCell ref="B39:C39"/>
    <mergeCell ref="B40:C40"/>
    <mergeCell ref="B41:C41"/>
    <mergeCell ref="B42:C42"/>
    <mergeCell ref="B43:C43"/>
    <mergeCell ref="B44:C4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tabColor rgb="FF008887"/>
  </sheetPr>
  <dimension ref="A1:X61"/>
  <sheetViews>
    <sheetView zoomScalePageLayoutView="0" workbookViewId="0" topLeftCell="A1">
      <selection activeCell="B2" sqref="B2:F2"/>
    </sheetView>
  </sheetViews>
  <sheetFormatPr defaultColWidth="9.33203125" defaultRowHeight="12.75"/>
  <cols>
    <col min="1" max="1" width="4.16015625" style="0" customWidth="1"/>
    <col min="2" max="2" width="20" style="0" customWidth="1"/>
    <col min="3" max="3" width="12.66015625" style="0" customWidth="1"/>
    <col min="4" max="4" width="14.5" style="40" customWidth="1"/>
    <col min="5" max="5" width="14.16015625" style="40" bestFit="1" customWidth="1"/>
    <col min="6" max="6" width="14.33203125" style="40" bestFit="1" customWidth="1"/>
    <col min="9" max="9" width="10.5" style="0" bestFit="1" customWidth="1"/>
    <col min="10" max="10" width="11.66015625" style="0" bestFit="1" customWidth="1"/>
  </cols>
  <sheetData>
    <row r="1" spans="1:15" ht="12.75">
      <c r="A1" s="58"/>
      <c r="B1" s="58"/>
      <c r="C1" s="58"/>
      <c r="D1" s="66"/>
      <c r="E1" s="66"/>
      <c r="F1" s="66"/>
      <c r="G1" s="58"/>
      <c r="H1" s="58"/>
      <c r="I1" s="58"/>
      <c r="J1" s="58"/>
      <c r="K1" s="58"/>
      <c r="L1" s="58"/>
      <c r="M1" s="58"/>
      <c r="N1" s="58"/>
      <c r="O1" s="58"/>
    </row>
    <row r="2" spans="1:24" ht="30">
      <c r="A2" s="58"/>
      <c r="B2" s="415" t="s">
        <v>164</v>
      </c>
      <c r="C2" s="416"/>
      <c r="D2" s="416"/>
      <c r="E2" s="416"/>
      <c r="F2" s="416"/>
      <c r="G2" s="58"/>
      <c r="H2" s="58"/>
      <c r="I2" s="58"/>
      <c r="J2" s="72" t="s">
        <v>151</v>
      </c>
      <c r="K2" s="73">
        <f>name</f>
        <v>0</v>
      </c>
      <c r="L2" s="58"/>
      <c r="M2" s="58"/>
      <c r="N2" s="58"/>
      <c r="O2" s="58"/>
      <c r="P2" s="58"/>
      <c r="Q2" s="58"/>
      <c r="R2" s="58"/>
      <c r="S2" s="58"/>
      <c r="T2" s="58"/>
      <c r="U2" s="58"/>
      <c r="V2" s="58"/>
      <c r="W2" s="58"/>
      <c r="X2" s="58"/>
    </row>
    <row r="3" spans="1:24" ht="15.75">
      <c r="A3" s="58"/>
      <c r="B3" s="58"/>
      <c r="C3" s="58"/>
      <c r="D3" s="66"/>
      <c r="E3" s="66"/>
      <c r="F3" s="66"/>
      <c r="G3" s="58"/>
      <c r="H3" s="58"/>
      <c r="I3" s="58"/>
      <c r="J3" s="72" t="s">
        <v>115</v>
      </c>
      <c r="K3" s="73">
        <f>corpyear</f>
        <v>0</v>
      </c>
      <c r="L3" s="58"/>
      <c r="M3" s="58"/>
      <c r="N3" s="58"/>
      <c r="O3" s="58"/>
      <c r="P3" s="58"/>
      <c r="Q3" s="58"/>
      <c r="R3" s="58"/>
      <c r="S3" s="58"/>
      <c r="T3" s="58"/>
      <c r="U3" s="58"/>
      <c r="V3" s="58"/>
      <c r="W3" s="58"/>
      <c r="X3" s="58"/>
    </row>
    <row r="4" spans="1:24" ht="12.75">
      <c r="A4" s="58"/>
      <c r="B4" s="58"/>
      <c r="C4" s="58"/>
      <c r="D4" s="66"/>
      <c r="E4" s="66"/>
      <c r="F4" s="66"/>
      <c r="G4" s="58"/>
      <c r="H4" s="58"/>
      <c r="I4" s="58"/>
      <c r="J4" s="58"/>
      <c r="K4" s="58"/>
      <c r="L4" s="58"/>
      <c r="M4" s="58"/>
      <c r="N4" s="58"/>
      <c r="O4" s="58"/>
      <c r="P4" s="58"/>
      <c r="Q4" s="58"/>
      <c r="R4" s="58"/>
      <c r="S4" s="58"/>
      <c r="T4" s="58"/>
      <c r="U4" s="58"/>
      <c r="V4" s="58"/>
      <c r="W4" s="58"/>
      <c r="X4" s="58"/>
    </row>
    <row r="5" spans="1:24" ht="12.75">
      <c r="A5" s="58"/>
      <c r="B5" s="58"/>
      <c r="C5" s="58"/>
      <c r="D5" s="66"/>
      <c r="E5" s="66"/>
      <c r="F5" s="66"/>
      <c r="G5" s="58"/>
      <c r="H5" s="58"/>
      <c r="I5" s="58"/>
      <c r="J5" s="58"/>
      <c r="K5" s="58"/>
      <c r="L5" s="58"/>
      <c r="M5" s="58"/>
      <c r="N5" s="58"/>
      <c r="O5" s="58"/>
      <c r="P5" s="58"/>
      <c r="Q5" s="58"/>
      <c r="R5" s="58"/>
      <c r="S5" s="58"/>
      <c r="T5" s="58"/>
      <c r="U5" s="58"/>
      <c r="V5" s="58"/>
      <c r="W5" s="58"/>
      <c r="X5" s="58"/>
    </row>
    <row r="6" spans="1:24" ht="12.75">
      <c r="A6" s="58"/>
      <c r="B6" s="58"/>
      <c r="C6" s="58"/>
      <c r="D6" s="66"/>
      <c r="E6" s="66"/>
      <c r="F6" s="66"/>
      <c r="G6" s="58"/>
      <c r="H6" s="58"/>
      <c r="I6" s="58"/>
      <c r="J6" s="58"/>
      <c r="K6" s="58"/>
      <c r="L6" s="58"/>
      <c r="M6" s="58"/>
      <c r="N6" s="58"/>
      <c r="O6" s="58"/>
      <c r="P6" s="58"/>
      <c r="Q6" s="58"/>
      <c r="R6" s="58"/>
      <c r="S6" s="58"/>
      <c r="T6" s="58"/>
      <c r="U6" s="58"/>
      <c r="V6" s="58"/>
      <c r="W6" s="58"/>
      <c r="X6" s="58"/>
    </row>
    <row r="7" spans="1:24" ht="15" thickBot="1">
      <c r="A7" s="58"/>
      <c r="B7" s="71" t="s">
        <v>206</v>
      </c>
      <c r="C7" s="71"/>
      <c r="D7" s="66"/>
      <c r="E7" s="66"/>
      <c r="F7" s="66"/>
      <c r="G7" s="58"/>
      <c r="H7" s="58"/>
      <c r="I7" s="58"/>
      <c r="J7" s="58"/>
      <c r="K7" s="58"/>
      <c r="L7" s="58"/>
      <c r="M7" s="58"/>
      <c r="N7" s="58"/>
      <c r="O7" s="58"/>
      <c r="P7" s="58"/>
      <c r="Q7" s="58"/>
      <c r="R7" s="58"/>
      <c r="S7" s="58"/>
      <c r="T7" s="58"/>
      <c r="U7" s="58"/>
      <c r="V7" s="58"/>
      <c r="W7" s="58"/>
      <c r="X7" s="58"/>
    </row>
    <row r="8" spans="1:24" ht="14.25">
      <c r="A8" s="58"/>
      <c r="B8" s="6" t="s">
        <v>111</v>
      </c>
      <c r="C8" s="182" t="s">
        <v>124</v>
      </c>
      <c r="D8" s="182" t="s">
        <v>230</v>
      </c>
      <c r="E8" s="183" t="s">
        <v>205</v>
      </c>
      <c r="G8" s="58"/>
      <c r="H8" s="58"/>
      <c r="I8" s="58"/>
      <c r="J8" s="58"/>
      <c r="K8" s="58"/>
      <c r="L8" s="58"/>
      <c r="M8" s="58"/>
      <c r="N8" s="58"/>
      <c r="O8" s="58"/>
      <c r="P8" s="58"/>
      <c r="Q8" s="58"/>
      <c r="R8" s="58"/>
      <c r="S8" s="58"/>
      <c r="T8" s="58"/>
      <c r="U8" s="58"/>
      <c r="V8" s="58"/>
      <c r="W8" s="58"/>
      <c r="X8" s="58"/>
    </row>
    <row r="9" spans="1:24" ht="12.75">
      <c r="A9" s="58"/>
      <c r="B9" s="3" t="s">
        <v>55</v>
      </c>
      <c r="C9" s="274">
        <f>buildingscost</f>
        <v>0</v>
      </c>
      <c r="D9" s="197" t="e">
        <f>buildEnergy</f>
        <v>#VALUE!</v>
      </c>
      <c r="E9" s="191" t="e">
        <f>buildingseco2</f>
        <v>#N/A</v>
      </c>
      <c r="F9" s="66"/>
      <c r="G9" s="58"/>
      <c r="H9" s="58"/>
      <c r="I9" s="58"/>
      <c r="J9" s="58"/>
      <c r="K9" s="58"/>
      <c r="L9" s="58"/>
      <c r="M9" s="58"/>
      <c r="N9" s="58"/>
      <c r="O9" s="58"/>
      <c r="P9" s="58"/>
      <c r="Q9" s="58"/>
      <c r="R9" s="58"/>
      <c r="S9" s="58"/>
      <c r="T9" s="58"/>
      <c r="U9" s="58"/>
      <c r="V9" s="58"/>
      <c r="W9" s="58"/>
      <c r="X9" s="58"/>
    </row>
    <row r="10" spans="1:24" ht="12.75">
      <c r="A10" s="58"/>
      <c r="B10" s="3" t="s">
        <v>65</v>
      </c>
      <c r="C10" s="274">
        <f>vehiclefleetcost</f>
        <v>0</v>
      </c>
      <c r="D10" s="197" t="e">
        <f>FleetEnergy</f>
        <v>#VALUE!</v>
      </c>
      <c r="E10" s="191">
        <f>vehiclefleeteco2</f>
        <v>0</v>
      </c>
      <c r="F10" s="66"/>
      <c r="G10" s="58"/>
      <c r="H10" s="58"/>
      <c r="I10" s="58"/>
      <c r="J10" s="58"/>
      <c r="K10" s="58"/>
      <c r="L10" s="58"/>
      <c r="M10" s="58"/>
      <c r="N10" s="58"/>
      <c r="O10" s="58"/>
      <c r="P10" s="58"/>
      <c r="Q10" s="58"/>
      <c r="R10" s="58"/>
      <c r="S10" s="58"/>
      <c r="T10" s="58"/>
      <c r="U10" s="58"/>
      <c r="V10" s="58"/>
      <c r="W10" s="58"/>
      <c r="X10" s="58"/>
    </row>
    <row r="11" spans="1:24" ht="12.75">
      <c r="A11" s="58"/>
      <c r="B11" s="3" t="s">
        <v>64</v>
      </c>
      <c r="C11" s="274">
        <f>streetlightscost</f>
        <v>0</v>
      </c>
      <c r="D11" s="197" t="e">
        <f>SLEnergy</f>
        <v>#VALUE!</v>
      </c>
      <c r="E11" s="191" t="e">
        <f>Streetlights!F54</f>
        <v>#N/A</v>
      </c>
      <c r="F11" s="66"/>
      <c r="G11" s="58"/>
      <c r="H11" s="58"/>
      <c r="I11" s="58"/>
      <c r="J11" s="58"/>
      <c r="K11" s="58"/>
      <c r="L11" s="58"/>
      <c r="M11" s="58"/>
      <c r="N11" s="58"/>
      <c r="O11" s="58"/>
      <c r="P11" s="58"/>
      <c r="Q11" s="58"/>
      <c r="R11" s="58"/>
      <c r="S11" s="58"/>
      <c r="T11" s="58"/>
      <c r="U11" s="58"/>
      <c r="V11" s="58"/>
      <c r="W11" s="58"/>
      <c r="X11" s="58"/>
    </row>
    <row r="12" spans="1:24" ht="12.75">
      <c r="A12" s="58"/>
      <c r="B12" s="3" t="s">
        <v>109</v>
      </c>
      <c r="C12" s="274">
        <f>waterandsewagecost</f>
        <v>0</v>
      </c>
      <c r="D12" s="197" t="e">
        <f>WSEnergy</f>
        <v>#VALUE!</v>
      </c>
      <c r="E12" s="191" t="e">
        <f>waterandsewageeco2</f>
        <v>#N/A</v>
      </c>
      <c r="F12" s="66"/>
      <c r="G12" s="58"/>
      <c r="H12" s="58"/>
      <c r="I12" s="58"/>
      <c r="J12" s="58"/>
      <c r="K12" s="58"/>
      <c r="L12" s="58"/>
      <c r="M12" s="58"/>
      <c r="N12" s="58"/>
      <c r="O12" s="58"/>
      <c r="P12" s="58"/>
      <c r="Q12" s="58"/>
      <c r="R12" s="58"/>
      <c r="S12" s="58"/>
      <c r="T12" s="58"/>
      <c r="U12" s="58"/>
      <c r="V12" s="58"/>
      <c r="W12" s="58"/>
      <c r="X12" s="58"/>
    </row>
    <row r="13" spans="1:24" ht="13.5" thickBot="1">
      <c r="A13" s="58"/>
      <c r="B13" s="29" t="s">
        <v>110</v>
      </c>
      <c r="C13" s="275" t="s">
        <v>112</v>
      </c>
      <c r="D13" s="199" t="s">
        <v>112</v>
      </c>
      <c r="E13" s="192">
        <f>corpwasteeco2</f>
        <v>0</v>
      </c>
      <c r="F13" s="66"/>
      <c r="G13" s="58"/>
      <c r="H13" s="58"/>
      <c r="I13" s="58"/>
      <c r="J13" s="58"/>
      <c r="K13" s="58"/>
      <c r="L13" s="58"/>
      <c r="M13" s="58"/>
      <c r="N13" s="58"/>
      <c r="O13" s="58"/>
      <c r="P13" s="58"/>
      <c r="Q13" s="58"/>
      <c r="R13" s="58"/>
      <c r="S13" s="58"/>
      <c r="T13" s="58"/>
      <c r="U13" s="58"/>
      <c r="V13" s="58"/>
      <c r="W13" s="58"/>
      <c r="X13" s="58"/>
    </row>
    <row r="14" spans="1:24" ht="13.5" thickBot="1">
      <c r="A14" s="58"/>
      <c r="B14" s="217" t="s">
        <v>62</v>
      </c>
      <c r="C14" s="259">
        <f>SUM(C9:C12)</f>
        <v>0</v>
      </c>
      <c r="D14" s="259" t="e">
        <f>SUM(D9:D12)</f>
        <v>#VALUE!</v>
      </c>
      <c r="E14" s="260" t="e">
        <f>SUM(E9:E13)</f>
        <v>#N/A</v>
      </c>
      <c r="F14" s="66"/>
      <c r="G14" s="58"/>
      <c r="H14" s="58"/>
      <c r="I14" s="58"/>
      <c r="J14" s="58"/>
      <c r="K14" s="58"/>
      <c r="L14" s="58"/>
      <c r="M14" s="58"/>
      <c r="N14" s="58"/>
      <c r="O14" s="58"/>
      <c r="P14" s="58"/>
      <c r="Q14" s="58"/>
      <c r="R14" s="58"/>
      <c r="S14" s="58"/>
      <c r="T14" s="58"/>
      <c r="U14" s="58"/>
      <c r="V14" s="58"/>
      <c r="W14" s="58"/>
      <c r="X14" s="58"/>
    </row>
    <row r="15" spans="1:24" ht="12.75">
      <c r="A15" s="58"/>
      <c r="B15" s="58"/>
      <c r="C15" s="58"/>
      <c r="D15" s="66"/>
      <c r="E15" s="66"/>
      <c r="F15" s="66"/>
      <c r="G15" s="58"/>
      <c r="H15" s="58"/>
      <c r="I15" s="58"/>
      <c r="J15" s="58"/>
      <c r="K15" s="58"/>
      <c r="L15" s="58"/>
      <c r="M15" s="58"/>
      <c r="N15" s="58"/>
      <c r="O15" s="58"/>
      <c r="P15" s="58"/>
      <c r="Q15" s="58"/>
      <c r="R15" s="58"/>
      <c r="S15" s="58"/>
      <c r="T15" s="58"/>
      <c r="U15" s="58"/>
      <c r="V15" s="58"/>
      <c r="W15" s="58"/>
      <c r="X15" s="58"/>
    </row>
    <row r="16" spans="1:24" ht="12.75">
      <c r="A16" s="58"/>
      <c r="B16" s="58"/>
      <c r="C16" s="58"/>
      <c r="D16" s="66"/>
      <c r="E16" s="66"/>
      <c r="F16" s="66"/>
      <c r="G16" s="58"/>
      <c r="H16" s="58"/>
      <c r="I16" s="58"/>
      <c r="J16" s="58"/>
      <c r="K16" s="58"/>
      <c r="L16" s="58"/>
      <c r="M16" s="58"/>
      <c r="N16" s="58"/>
      <c r="O16" s="58"/>
      <c r="P16" s="58"/>
      <c r="Q16" s="58"/>
      <c r="R16" s="58"/>
      <c r="S16" s="58"/>
      <c r="T16" s="58"/>
      <c r="U16" s="58"/>
      <c r="V16" s="58"/>
      <c r="W16" s="58"/>
      <c r="X16" s="58"/>
    </row>
    <row r="17" spans="1:24" ht="12.75">
      <c r="A17" s="58"/>
      <c r="B17" s="58"/>
      <c r="C17" s="58"/>
      <c r="D17" s="66"/>
      <c r="E17" s="66"/>
      <c r="F17" s="66"/>
      <c r="G17" s="58"/>
      <c r="H17" s="58"/>
      <c r="I17" s="58"/>
      <c r="J17" s="58"/>
      <c r="K17" s="58"/>
      <c r="L17" s="58"/>
      <c r="M17" s="58"/>
      <c r="N17" s="58"/>
      <c r="O17" s="58"/>
      <c r="P17" s="58"/>
      <c r="Q17" s="58"/>
      <c r="R17" s="58"/>
      <c r="S17" s="58"/>
      <c r="T17" s="58"/>
      <c r="U17" s="58"/>
      <c r="V17" s="58"/>
      <c r="W17" s="58"/>
      <c r="X17" s="58"/>
    </row>
    <row r="18" spans="1:24" ht="12.75">
      <c r="A18" s="58"/>
      <c r="B18" s="58"/>
      <c r="C18" s="58"/>
      <c r="D18" s="66"/>
      <c r="E18" s="66"/>
      <c r="F18" s="66"/>
      <c r="G18" s="58"/>
      <c r="H18" s="58"/>
      <c r="I18" s="58"/>
      <c r="J18" s="58"/>
      <c r="K18" s="58"/>
      <c r="L18" s="58"/>
      <c r="M18" s="58"/>
      <c r="N18" s="58"/>
      <c r="O18" s="58"/>
      <c r="P18" s="58"/>
      <c r="Q18" s="58"/>
      <c r="R18" s="58"/>
      <c r="S18" s="58"/>
      <c r="T18" s="58"/>
      <c r="U18" s="58"/>
      <c r="V18" s="58"/>
      <c r="W18" s="58"/>
      <c r="X18" s="58"/>
    </row>
    <row r="19" spans="1:24" ht="12.75">
      <c r="A19" s="58"/>
      <c r="B19" s="58"/>
      <c r="C19" s="58"/>
      <c r="D19" s="66"/>
      <c r="E19" s="66"/>
      <c r="F19" s="66"/>
      <c r="G19" s="58"/>
      <c r="H19" s="58"/>
      <c r="I19" s="58"/>
      <c r="J19" s="58"/>
      <c r="K19" s="58"/>
      <c r="L19" s="58"/>
      <c r="M19" s="58"/>
      <c r="N19" s="58"/>
      <c r="O19" s="58"/>
      <c r="P19" s="58"/>
      <c r="Q19" s="58"/>
      <c r="R19" s="58"/>
      <c r="S19" s="58"/>
      <c r="T19" s="58"/>
      <c r="U19" s="58"/>
      <c r="V19" s="58"/>
      <c r="W19" s="58"/>
      <c r="X19" s="58"/>
    </row>
    <row r="20" spans="1:24" ht="15" thickBot="1">
      <c r="A20" s="58"/>
      <c r="B20" s="71" t="s">
        <v>207</v>
      </c>
      <c r="C20" s="71"/>
      <c r="D20" s="66"/>
      <c r="E20" s="66"/>
      <c r="F20" s="66"/>
      <c r="G20" s="58"/>
      <c r="H20" s="58"/>
      <c r="I20" s="58"/>
      <c r="J20" s="58"/>
      <c r="K20" s="58"/>
      <c r="L20" s="58"/>
      <c r="M20" s="58"/>
      <c r="N20" s="58"/>
      <c r="O20" s="58"/>
      <c r="P20" s="58"/>
      <c r="Q20" s="58"/>
      <c r="R20" s="58"/>
      <c r="S20" s="58"/>
      <c r="T20" s="58"/>
      <c r="U20" s="58"/>
      <c r="V20" s="58"/>
      <c r="W20" s="58"/>
      <c r="X20" s="58"/>
    </row>
    <row r="21" spans="1:24" ht="14.25">
      <c r="A21" s="58"/>
      <c r="B21" s="6" t="s">
        <v>113</v>
      </c>
      <c r="C21" s="46" t="s">
        <v>57</v>
      </c>
      <c r="D21" s="182" t="s">
        <v>230</v>
      </c>
      <c r="E21" s="46" t="s">
        <v>124</v>
      </c>
      <c r="F21" s="47" t="s">
        <v>205</v>
      </c>
      <c r="G21" s="58"/>
      <c r="H21" s="58"/>
      <c r="I21" s="58"/>
      <c r="J21" s="58"/>
      <c r="K21" s="58"/>
      <c r="L21" s="58"/>
      <c r="M21" s="58"/>
      <c r="N21" s="58"/>
      <c r="O21" s="58"/>
      <c r="P21" s="58"/>
      <c r="Q21" s="58"/>
      <c r="R21" s="58"/>
      <c r="S21" s="58"/>
      <c r="T21" s="58"/>
      <c r="U21" s="58"/>
      <c r="V21" s="58"/>
      <c r="W21" s="58"/>
      <c r="X21" s="58"/>
    </row>
    <row r="22" spans="1:24" ht="12.75">
      <c r="A22" s="58"/>
      <c r="B22" s="3" t="s">
        <v>56</v>
      </c>
      <c r="C22" s="274">
        <f>Buildings!C54+Streetlights!C54+'Water &amp; Sewage'!C60</f>
        <v>0</v>
      </c>
      <c r="D22" s="274" t="e">
        <f>C22*(HLOOKUP(B22,'Energy Conv Factors'!$A$6:$M$17,'General Info'!$E$7,FALSE))/1000</f>
        <v>#VALUE!</v>
      </c>
      <c r="E22" s="274">
        <f>Buildings!E54+streetlightscost+'Water &amp; Sewage'!E60</f>
        <v>0</v>
      </c>
      <c r="F22" s="191" t="e">
        <f>Buildings!F54+Streetlights!F54+'Water &amp; Sewage'!F60</f>
        <v>#N/A</v>
      </c>
      <c r="G22" s="58"/>
      <c r="H22" s="58"/>
      <c r="I22" s="58"/>
      <c r="J22" s="58"/>
      <c r="K22" s="58"/>
      <c r="L22" s="58"/>
      <c r="M22" s="58"/>
      <c r="N22" s="58"/>
      <c r="O22" s="58"/>
      <c r="P22" s="58"/>
      <c r="Q22" s="58"/>
      <c r="R22" s="58"/>
      <c r="S22" s="58"/>
      <c r="T22" s="58"/>
      <c r="U22" s="58"/>
      <c r="V22" s="58"/>
      <c r="W22" s="58"/>
      <c r="X22" s="58"/>
    </row>
    <row r="23" spans="1:24" ht="12.75">
      <c r="A23" s="58"/>
      <c r="B23" s="3" t="s">
        <v>49</v>
      </c>
      <c r="C23" s="274">
        <f>Buildings!G54+'Water &amp; Sewage'!G60</f>
        <v>0</v>
      </c>
      <c r="D23" s="274" t="e">
        <f>C23*(HLOOKUP(B23,'Energy Conv Factors'!$A$6:$M$17,'General Info'!$E$7,FALSE))/1000</f>
        <v>#VALUE!</v>
      </c>
      <c r="E23" s="274">
        <f>Buildings!I54+'Water &amp; Sewage'!I60</f>
        <v>0</v>
      </c>
      <c r="F23" s="191" t="e">
        <f>Buildings!J54+'Water &amp; Sewage'!J60</f>
        <v>#N/A</v>
      </c>
      <c r="G23" s="58"/>
      <c r="H23" s="58"/>
      <c r="I23" s="58"/>
      <c r="J23" s="58"/>
      <c r="K23" s="58"/>
      <c r="L23" s="58"/>
      <c r="M23" s="58"/>
      <c r="N23" s="58"/>
      <c r="O23" s="58"/>
      <c r="P23" s="58"/>
      <c r="Q23" s="58"/>
      <c r="R23" s="58"/>
      <c r="S23" s="58"/>
      <c r="T23" s="58"/>
      <c r="U23" s="58"/>
      <c r="V23" s="58"/>
      <c r="W23" s="58"/>
      <c r="X23" s="58"/>
    </row>
    <row r="24" spans="1:24" ht="12.75">
      <c r="A24" s="58"/>
      <c r="B24" s="3" t="s">
        <v>26</v>
      </c>
      <c r="C24" s="274">
        <f>'Vehicle Fleet'!O54</f>
        <v>0</v>
      </c>
      <c r="D24" s="274" t="e">
        <f>C24*(HLOOKUP(B24,'Energy Conv Factors'!$A$6:$M$17,'General Info'!$E$7,FALSE))/1000</f>
        <v>#VALUE!</v>
      </c>
      <c r="E24" s="274">
        <f>'Vehicle Fleet'!Q54</f>
        <v>0</v>
      </c>
      <c r="F24" s="191">
        <f>'Vehicle Fleet'!R54</f>
        <v>0</v>
      </c>
      <c r="G24" s="58"/>
      <c r="H24" s="58"/>
      <c r="I24" s="58"/>
      <c r="J24" s="58"/>
      <c r="K24" s="58"/>
      <c r="L24" s="58"/>
      <c r="M24" s="58"/>
      <c r="N24" s="58"/>
      <c r="O24" s="58"/>
      <c r="P24" s="58"/>
      <c r="Q24" s="58"/>
      <c r="R24" s="58"/>
      <c r="S24" s="58"/>
      <c r="T24" s="58"/>
      <c r="U24" s="58"/>
      <c r="V24" s="58"/>
      <c r="W24" s="58"/>
      <c r="X24" s="58"/>
    </row>
    <row r="25" spans="1:24" ht="12.75">
      <c r="A25" s="58"/>
      <c r="B25" s="3" t="s">
        <v>34</v>
      </c>
      <c r="C25" s="274">
        <f>Buildings!S54+'Vehicle Fleet'!G54+'Water &amp; Sewage'!S60</f>
        <v>0</v>
      </c>
      <c r="D25" s="274" t="e">
        <f>C25*(HLOOKUP(B25,'Energy Conv Factors'!$A$6:$M$17,'General Info'!$E$7,FALSE))/1000</f>
        <v>#VALUE!</v>
      </c>
      <c r="E25" s="274">
        <f>Buildings!U54+'Vehicle Fleet'!I54+'Water &amp; Sewage'!U60</f>
        <v>0</v>
      </c>
      <c r="F25" s="191">
        <f>Buildings!V54+'Vehicle Fleet'!J54+'Water &amp; Sewage'!V60</f>
        <v>0</v>
      </c>
      <c r="G25" s="58"/>
      <c r="H25" s="58"/>
      <c r="I25" s="58"/>
      <c r="J25" s="58"/>
      <c r="K25" s="58"/>
      <c r="L25" s="58"/>
      <c r="M25" s="58"/>
      <c r="N25" s="58"/>
      <c r="O25" s="58"/>
      <c r="P25" s="58"/>
      <c r="Q25" s="58"/>
      <c r="R25" s="58"/>
      <c r="S25" s="58"/>
      <c r="T25" s="58"/>
      <c r="U25" s="58"/>
      <c r="V25" s="58"/>
      <c r="W25" s="58"/>
      <c r="X25" s="58"/>
    </row>
    <row r="26" spans="1:24" ht="12.75">
      <c r="A26" s="58"/>
      <c r="B26" s="147" t="s">
        <v>35</v>
      </c>
      <c r="C26" s="274">
        <f>Buildings!K54+'Water &amp; Sewage'!K60</f>
        <v>0</v>
      </c>
      <c r="D26" s="198">
        <f>Buildings!K54+'Water &amp; Sewage'!K60</f>
        <v>0</v>
      </c>
      <c r="E26" s="274">
        <f>Buildings!M54+'Water &amp; Sewage'!M60</f>
        <v>0</v>
      </c>
      <c r="F26" s="191">
        <f>Buildings!N54+'Water &amp; Sewage'!N60</f>
        <v>0</v>
      </c>
      <c r="G26" s="58"/>
      <c r="H26" s="58"/>
      <c r="I26" s="58"/>
      <c r="J26" s="58"/>
      <c r="K26" s="58"/>
      <c r="L26" s="58"/>
      <c r="M26" s="58"/>
      <c r="N26" s="58"/>
      <c r="O26" s="58"/>
      <c r="P26" s="58"/>
      <c r="Q26" s="58"/>
      <c r="R26" s="58"/>
      <c r="S26" s="58"/>
      <c r="T26" s="58"/>
      <c r="U26" s="58"/>
      <c r="V26" s="58"/>
      <c r="W26" s="58"/>
      <c r="X26" s="58"/>
    </row>
    <row r="27" spans="1:24" ht="12.75">
      <c r="A27" s="58"/>
      <c r="B27" s="147" t="s">
        <v>218</v>
      </c>
      <c r="C27" s="274">
        <f>'Vehicle Fleet'!S54</f>
        <v>0</v>
      </c>
      <c r="D27" s="274" t="e">
        <f>C27*(HLOOKUP(B27,'Energy Conv Factors'!$A$6:$M$17,'General Info'!$E$7,FALSE))/1000</f>
        <v>#VALUE!</v>
      </c>
      <c r="E27" s="274">
        <f>'Vehicle Fleet'!U54</f>
        <v>0</v>
      </c>
      <c r="F27" s="191">
        <f>'Vehicle Fleet'!V54</f>
        <v>0</v>
      </c>
      <c r="G27" s="58"/>
      <c r="H27" s="58"/>
      <c r="I27" s="58"/>
      <c r="J27" s="58"/>
      <c r="K27" s="58"/>
      <c r="L27" s="58"/>
      <c r="M27" s="58"/>
      <c r="N27" s="58"/>
      <c r="O27" s="58"/>
      <c r="P27" s="58"/>
      <c r="Q27" s="58"/>
      <c r="R27" s="58"/>
      <c r="S27" s="58"/>
      <c r="T27" s="58"/>
      <c r="U27" s="58"/>
      <c r="V27" s="58"/>
      <c r="W27" s="58"/>
      <c r="X27" s="58"/>
    </row>
    <row r="28" spans="1:24" ht="12.75">
      <c r="A28" s="58"/>
      <c r="B28" s="147" t="s">
        <v>215</v>
      </c>
      <c r="C28" s="274">
        <f>'Vehicle Fleet'!W54</f>
        <v>0</v>
      </c>
      <c r="D28" s="274" t="e">
        <f>C28*(HLOOKUP(B28,'Energy Conv Factors'!$A$6:$M$17,'General Info'!$E$7,FALSE))/1000</f>
        <v>#VALUE!</v>
      </c>
      <c r="E28" s="274">
        <f>'Vehicle Fleet'!Y54</f>
        <v>0</v>
      </c>
      <c r="F28" s="191">
        <f>'Vehicle Fleet'!Z54</f>
        <v>0</v>
      </c>
      <c r="G28" s="58"/>
      <c r="H28" s="58"/>
      <c r="I28" s="58"/>
      <c r="J28" s="58"/>
      <c r="K28" s="58"/>
      <c r="L28" s="58"/>
      <c r="M28" s="58"/>
      <c r="N28" s="58"/>
      <c r="O28" s="58"/>
      <c r="P28" s="58"/>
      <c r="Q28" s="58"/>
      <c r="R28" s="58"/>
      <c r="S28" s="58"/>
      <c r="T28" s="58"/>
      <c r="U28" s="58"/>
      <c r="V28" s="58"/>
      <c r="W28" s="58"/>
      <c r="X28" s="58"/>
    </row>
    <row r="29" spans="1:24" ht="12.75">
      <c r="A29" s="58"/>
      <c r="B29" s="147" t="s">
        <v>216</v>
      </c>
      <c r="C29" s="274">
        <f>'Vehicle Fleet'!AA54</f>
        <v>0</v>
      </c>
      <c r="D29" s="274" t="e">
        <f>C29*(HLOOKUP(B29,'Energy Conv Factors'!$A$6:$M$17,'General Info'!$E$7,FALSE))/1000</f>
        <v>#VALUE!</v>
      </c>
      <c r="E29" s="274">
        <f>'Vehicle Fleet'!AC54</f>
        <v>0</v>
      </c>
      <c r="F29" s="191">
        <f>'Vehicle Fleet'!AD54</f>
        <v>0</v>
      </c>
      <c r="G29" s="58"/>
      <c r="H29" s="58"/>
      <c r="I29" s="58"/>
      <c r="J29" s="58"/>
      <c r="K29" s="58"/>
      <c r="L29" s="58"/>
      <c r="M29" s="58"/>
      <c r="N29" s="58"/>
      <c r="O29" s="58"/>
      <c r="P29" s="58"/>
      <c r="Q29" s="58"/>
      <c r="R29" s="58"/>
      <c r="S29" s="58"/>
      <c r="T29" s="58"/>
      <c r="U29" s="58"/>
      <c r="V29" s="58"/>
      <c r="W29" s="58"/>
      <c r="X29" s="58"/>
    </row>
    <row r="30" spans="1:24" ht="12.75">
      <c r="A30" s="58"/>
      <c r="B30" s="147" t="s">
        <v>217</v>
      </c>
      <c r="C30" s="274">
        <f>'Vehicle Fleet'!AE54</f>
        <v>0</v>
      </c>
      <c r="D30" s="274" t="e">
        <f>C30*(HLOOKUP(B30,'Energy Conv Factors'!$A$6:$M$17,'General Info'!$E$7,FALSE))/1000</f>
        <v>#VALUE!</v>
      </c>
      <c r="E30" s="274">
        <f>'Vehicle Fleet'!AG54</f>
        <v>0</v>
      </c>
      <c r="F30" s="191">
        <f>'Vehicle Fleet'!AH54</f>
        <v>0</v>
      </c>
      <c r="G30" s="58"/>
      <c r="H30" s="58"/>
      <c r="I30" s="58"/>
      <c r="J30" s="58"/>
      <c r="K30" s="58"/>
      <c r="L30" s="58"/>
      <c r="M30" s="58"/>
      <c r="N30" s="58"/>
      <c r="O30" s="58"/>
      <c r="P30" s="58"/>
      <c r="Q30" s="58"/>
      <c r="R30" s="58"/>
      <c r="S30" s="58"/>
      <c r="T30" s="58"/>
      <c r="U30" s="58"/>
      <c r="V30" s="58"/>
      <c r="W30" s="58"/>
      <c r="X30" s="58"/>
    </row>
    <row r="31" spans="1:24" ht="12.75">
      <c r="A31" s="58"/>
      <c r="B31" s="3" t="s">
        <v>39</v>
      </c>
      <c r="C31" s="274">
        <f>Buildings!O54+'Water &amp; Sewage'!O60</f>
        <v>0</v>
      </c>
      <c r="D31" s="274" t="e">
        <f>C31*(HLOOKUP(B31,'Energy Conv Factors'!$A$6:$M$17,'General Info'!$E$7,FALSE))/1000</f>
        <v>#VALUE!</v>
      </c>
      <c r="E31" s="274">
        <f>Buildings!Q54+'Water &amp; Sewage'!Q60</f>
        <v>0</v>
      </c>
      <c r="F31" s="191">
        <f>Buildings!R54+'Water &amp; Sewage'!R60</f>
        <v>0</v>
      </c>
      <c r="G31" s="58"/>
      <c r="H31" s="58"/>
      <c r="I31" s="58"/>
      <c r="J31" s="58"/>
      <c r="K31" s="58"/>
      <c r="L31" s="58"/>
      <c r="M31" s="58"/>
      <c r="N31" s="58"/>
      <c r="O31" s="58"/>
      <c r="P31" s="58"/>
      <c r="Q31" s="58"/>
      <c r="R31" s="58"/>
      <c r="S31" s="58"/>
      <c r="T31" s="58"/>
      <c r="U31" s="58"/>
      <c r="V31" s="58"/>
      <c r="W31" s="58"/>
      <c r="X31" s="58"/>
    </row>
    <row r="32" spans="1:24" ht="12.75">
      <c r="A32" s="58"/>
      <c r="B32" s="3" t="s">
        <v>40</v>
      </c>
      <c r="C32" s="274">
        <f>'Vehicle Fleet'!C54</f>
        <v>0</v>
      </c>
      <c r="D32" s="274" t="e">
        <f>C32*(HLOOKUP(B32,'Energy Conv Factors'!$A$6:$M$17,'General Info'!$E$7,FALSE))/1000</f>
        <v>#VALUE!</v>
      </c>
      <c r="E32" s="274">
        <f>'Vehicle Fleet'!E54</f>
        <v>0</v>
      </c>
      <c r="F32" s="191">
        <f>'Vehicle Fleet'!F54</f>
        <v>0</v>
      </c>
      <c r="G32" s="58"/>
      <c r="H32" s="58"/>
      <c r="I32" s="58"/>
      <c r="J32" s="58"/>
      <c r="K32" s="58"/>
      <c r="L32" s="58"/>
      <c r="M32" s="58"/>
      <c r="N32" s="58"/>
      <c r="O32" s="58"/>
      <c r="P32" s="58"/>
      <c r="Q32" s="58"/>
      <c r="R32" s="58"/>
      <c r="S32" s="58"/>
      <c r="T32" s="58"/>
      <c r="U32" s="58"/>
      <c r="V32" s="58"/>
      <c r="W32" s="58"/>
      <c r="X32" s="58"/>
    </row>
    <row r="33" spans="1:24" ht="12.75">
      <c r="A33" s="58"/>
      <c r="B33" s="3" t="s">
        <v>51</v>
      </c>
      <c r="C33" s="274">
        <f>'Vehicle Fleet'!K54</f>
        <v>0</v>
      </c>
      <c r="D33" s="274" t="e">
        <f>C33*(HLOOKUP(B33,'Energy Conv Factors'!$A$6:$M$17,'General Info'!$E$7,FALSE))/1000</f>
        <v>#VALUE!</v>
      </c>
      <c r="E33" s="274">
        <f>'Vehicle Fleet'!M54</f>
        <v>0</v>
      </c>
      <c r="F33" s="191">
        <f>'Vehicle Fleet'!N54</f>
        <v>0</v>
      </c>
      <c r="G33" s="58"/>
      <c r="H33" s="58"/>
      <c r="I33" s="58"/>
      <c r="J33" s="58"/>
      <c r="K33" s="58"/>
      <c r="L33" s="58"/>
      <c r="M33" s="58"/>
      <c r="N33" s="58"/>
      <c r="O33" s="58"/>
      <c r="P33" s="58"/>
      <c r="Q33" s="58"/>
      <c r="R33" s="58"/>
      <c r="S33" s="58"/>
      <c r="T33" s="58"/>
      <c r="U33" s="58"/>
      <c r="V33" s="58"/>
      <c r="W33" s="58"/>
      <c r="X33" s="58"/>
    </row>
    <row r="34" spans="1:24" ht="13.5" thickBot="1">
      <c r="A34" s="58"/>
      <c r="B34" s="29" t="s">
        <v>66</v>
      </c>
      <c r="C34" s="275" t="s">
        <v>112</v>
      </c>
      <c r="D34" s="199" t="s">
        <v>112</v>
      </c>
      <c r="E34" s="275" t="s">
        <v>112</v>
      </c>
      <c r="F34" s="192">
        <f>corpwasteeco2</f>
        <v>0</v>
      </c>
      <c r="G34" s="58"/>
      <c r="H34" s="58"/>
      <c r="I34" s="58"/>
      <c r="J34" s="58"/>
      <c r="K34" s="58"/>
      <c r="L34" s="58"/>
      <c r="M34" s="58"/>
      <c r="N34" s="58"/>
      <c r="O34" s="58"/>
      <c r="P34" s="58"/>
      <c r="Q34" s="58"/>
      <c r="R34" s="58"/>
      <c r="S34" s="58"/>
      <c r="T34" s="58"/>
      <c r="U34" s="58"/>
      <c r="V34" s="58"/>
      <c r="W34" s="58"/>
      <c r="X34" s="58"/>
    </row>
    <row r="35" spans="1:24" ht="13.5" thickBot="1">
      <c r="A35" s="58"/>
      <c r="B35" s="217" t="s">
        <v>114</v>
      </c>
      <c r="C35" s="258" t="s">
        <v>112</v>
      </c>
      <c r="D35" s="259" t="e">
        <f>SUM(D22:D33)</f>
        <v>#VALUE!</v>
      </c>
      <c r="E35" s="259">
        <f>SUM(E22:E33)</f>
        <v>0</v>
      </c>
      <c r="F35" s="260" t="e">
        <f>SUM(F22:F34)</f>
        <v>#N/A</v>
      </c>
      <c r="G35" s="58"/>
      <c r="H35" s="58"/>
      <c r="I35" s="58"/>
      <c r="J35" s="58"/>
      <c r="K35" s="58"/>
      <c r="L35" s="58"/>
      <c r="M35" s="58"/>
      <c r="N35" s="58"/>
      <c r="O35" s="58"/>
      <c r="P35" s="58"/>
      <c r="Q35" s="58"/>
      <c r="R35" s="58"/>
      <c r="S35" s="58"/>
      <c r="T35" s="58"/>
      <c r="U35" s="58"/>
      <c r="V35" s="58"/>
      <c r="W35" s="58"/>
      <c r="X35" s="58"/>
    </row>
    <row r="36" spans="1:24" ht="12.75">
      <c r="A36" s="58"/>
      <c r="B36" s="58"/>
      <c r="C36" s="58"/>
      <c r="D36" s="66"/>
      <c r="E36" s="66"/>
      <c r="F36" s="66"/>
      <c r="G36" s="58"/>
      <c r="H36" s="58"/>
      <c r="I36" s="58"/>
      <c r="J36" s="58"/>
      <c r="K36" s="58"/>
      <c r="L36" s="58"/>
      <c r="M36" s="58"/>
      <c r="N36" s="58"/>
      <c r="O36" s="58"/>
      <c r="P36" s="58"/>
      <c r="Q36" s="58"/>
      <c r="R36" s="58"/>
      <c r="S36" s="58"/>
      <c r="T36" s="58"/>
      <c r="U36" s="58"/>
      <c r="V36" s="58"/>
      <c r="W36" s="58"/>
      <c r="X36" s="58"/>
    </row>
    <row r="37" spans="1:24" ht="12.75">
      <c r="A37" s="58"/>
      <c r="B37" s="58"/>
      <c r="C37" s="58"/>
      <c r="D37" s="66"/>
      <c r="E37" s="66"/>
      <c r="F37" s="66"/>
      <c r="G37" s="58"/>
      <c r="H37" s="58"/>
      <c r="I37" s="58"/>
      <c r="J37" s="58"/>
      <c r="K37" s="58"/>
      <c r="L37" s="58"/>
      <c r="M37" s="58"/>
      <c r="N37" s="58"/>
      <c r="O37" s="58"/>
      <c r="P37" s="58"/>
      <c r="Q37" s="58"/>
      <c r="R37" s="58"/>
      <c r="S37" s="58"/>
      <c r="T37" s="58"/>
      <c r="U37" s="58"/>
      <c r="V37" s="58"/>
      <c r="W37" s="58"/>
      <c r="X37" s="58"/>
    </row>
    <row r="38" spans="1:24" ht="12.75">
      <c r="A38" s="58"/>
      <c r="B38" s="58"/>
      <c r="C38" s="58"/>
      <c r="D38" s="66"/>
      <c r="E38" s="66"/>
      <c r="F38" s="66"/>
      <c r="G38" s="58"/>
      <c r="H38" s="58"/>
      <c r="I38" s="58"/>
      <c r="J38" s="58"/>
      <c r="K38" s="58"/>
      <c r="L38" s="58"/>
      <c r="M38" s="58"/>
      <c r="N38" s="58"/>
      <c r="O38" s="58"/>
      <c r="P38" s="58"/>
      <c r="Q38" s="58"/>
      <c r="R38" s="58"/>
      <c r="S38" s="58"/>
      <c r="T38" s="58"/>
      <c r="U38" s="58"/>
      <c r="V38" s="58"/>
      <c r="W38" s="58"/>
      <c r="X38" s="58"/>
    </row>
    <row r="39" spans="1:24" ht="12.75">
      <c r="A39" s="58"/>
      <c r="B39" s="58"/>
      <c r="C39" s="58"/>
      <c r="D39" s="66"/>
      <c r="E39" s="66"/>
      <c r="F39" s="66"/>
      <c r="G39" s="58"/>
      <c r="H39" s="58"/>
      <c r="I39" s="58"/>
      <c r="J39" s="58"/>
      <c r="K39" s="58"/>
      <c r="L39" s="58"/>
      <c r="M39" s="58"/>
      <c r="N39" s="58"/>
      <c r="O39" s="58"/>
      <c r="P39" s="58"/>
      <c r="Q39" s="58"/>
      <c r="R39" s="58"/>
      <c r="S39" s="58"/>
      <c r="T39" s="58"/>
      <c r="U39" s="58"/>
      <c r="V39" s="58"/>
      <c r="W39" s="58"/>
      <c r="X39" s="58"/>
    </row>
    <row r="40" spans="1:24" ht="12.75">
      <c r="A40" s="58"/>
      <c r="B40" s="58"/>
      <c r="C40" s="58"/>
      <c r="D40" s="66"/>
      <c r="E40" s="66"/>
      <c r="F40" s="66"/>
      <c r="G40" s="58"/>
      <c r="H40" s="58"/>
      <c r="I40" s="58"/>
      <c r="J40" s="58"/>
      <c r="K40" s="58"/>
      <c r="L40" s="58"/>
      <c r="M40" s="58"/>
      <c r="N40" s="58"/>
      <c r="O40" s="58"/>
      <c r="P40" s="58"/>
      <c r="Q40" s="58"/>
      <c r="R40" s="58"/>
      <c r="S40" s="58"/>
      <c r="T40" s="58"/>
      <c r="U40" s="58"/>
      <c r="V40" s="58"/>
      <c r="W40" s="58"/>
      <c r="X40" s="58"/>
    </row>
    <row r="41" spans="1:24" ht="12.75">
      <c r="A41" s="58"/>
      <c r="B41" s="58"/>
      <c r="C41" s="58"/>
      <c r="D41" s="66"/>
      <c r="E41" s="66"/>
      <c r="F41" s="66"/>
      <c r="G41" s="58"/>
      <c r="H41" s="58"/>
      <c r="I41" s="58"/>
      <c r="J41" s="58"/>
      <c r="K41" s="58"/>
      <c r="L41" s="58"/>
      <c r="M41" s="58"/>
      <c r="N41" s="58"/>
      <c r="O41" s="58"/>
      <c r="P41" s="58"/>
      <c r="Q41" s="58"/>
      <c r="R41" s="58"/>
      <c r="S41" s="58"/>
      <c r="T41" s="58"/>
      <c r="U41" s="58"/>
      <c r="V41" s="58"/>
      <c r="W41" s="58"/>
      <c r="X41" s="58"/>
    </row>
    <row r="42" spans="1:24" ht="12.75">
      <c r="A42" s="58"/>
      <c r="B42" s="58"/>
      <c r="C42" s="58"/>
      <c r="D42" s="66"/>
      <c r="E42" s="66"/>
      <c r="F42" s="66"/>
      <c r="G42" s="58"/>
      <c r="H42" s="58"/>
      <c r="I42" s="58"/>
      <c r="J42" s="58"/>
      <c r="K42" s="58"/>
      <c r="L42" s="58"/>
      <c r="M42" s="58"/>
      <c r="N42" s="58"/>
      <c r="O42" s="58"/>
      <c r="P42" s="58"/>
      <c r="Q42" s="58"/>
      <c r="R42" s="58"/>
      <c r="S42" s="58"/>
      <c r="T42" s="58"/>
      <c r="U42" s="58"/>
      <c r="V42" s="58"/>
      <c r="W42" s="58"/>
      <c r="X42" s="58"/>
    </row>
    <row r="43" spans="1:24" ht="12.75">
      <c r="A43" s="58"/>
      <c r="B43" s="58"/>
      <c r="C43" s="58"/>
      <c r="D43" s="66"/>
      <c r="E43" s="66"/>
      <c r="F43" s="66"/>
      <c r="G43" s="58"/>
      <c r="H43" s="58"/>
      <c r="I43" s="58"/>
      <c r="J43" s="58"/>
      <c r="K43" s="58"/>
      <c r="L43" s="58"/>
      <c r="M43" s="58"/>
      <c r="N43" s="58"/>
      <c r="O43" s="58"/>
      <c r="P43" s="58"/>
      <c r="Q43" s="58"/>
      <c r="R43" s="58"/>
      <c r="S43" s="58"/>
      <c r="T43" s="58"/>
      <c r="U43" s="58"/>
      <c r="V43" s="58"/>
      <c r="W43" s="58"/>
      <c r="X43" s="58"/>
    </row>
    <row r="44" spans="1:24" ht="12.75">
      <c r="A44" s="58"/>
      <c r="B44" s="58"/>
      <c r="C44" s="58"/>
      <c r="D44" s="66"/>
      <c r="E44" s="66"/>
      <c r="F44" s="66"/>
      <c r="G44" s="58"/>
      <c r="H44" s="58"/>
      <c r="I44" s="58"/>
      <c r="J44" s="58"/>
      <c r="K44" s="58"/>
      <c r="L44" s="58"/>
      <c r="M44" s="58"/>
      <c r="N44" s="58"/>
      <c r="O44" s="58"/>
      <c r="P44" s="58"/>
      <c r="Q44" s="58"/>
      <c r="R44" s="58"/>
      <c r="S44" s="58"/>
      <c r="T44" s="58"/>
      <c r="U44" s="58"/>
      <c r="V44" s="58"/>
      <c r="W44" s="58"/>
      <c r="X44" s="58"/>
    </row>
    <row r="45" spans="1:24" ht="12.75">
      <c r="A45" s="58"/>
      <c r="B45" s="58"/>
      <c r="C45" s="58"/>
      <c r="D45" s="66"/>
      <c r="E45" s="66"/>
      <c r="F45" s="66"/>
      <c r="G45" s="58"/>
      <c r="H45" s="58"/>
      <c r="I45" s="58"/>
      <c r="J45" s="58"/>
      <c r="K45" s="58"/>
      <c r="L45" s="58"/>
      <c r="M45" s="58"/>
      <c r="N45" s="58"/>
      <c r="O45" s="58"/>
      <c r="P45" s="58"/>
      <c r="Q45" s="58"/>
      <c r="R45" s="58"/>
      <c r="S45" s="58"/>
      <c r="T45" s="58"/>
      <c r="U45" s="58"/>
      <c r="V45" s="58"/>
      <c r="W45" s="58"/>
      <c r="X45" s="58"/>
    </row>
    <row r="46" spans="1:20" ht="12.75">
      <c r="A46" s="58"/>
      <c r="B46" s="58"/>
      <c r="C46" s="58"/>
      <c r="D46" s="66"/>
      <c r="E46" s="66"/>
      <c r="F46" s="66"/>
      <c r="G46" s="58"/>
      <c r="H46" s="58"/>
      <c r="I46" s="58"/>
      <c r="J46" s="58"/>
      <c r="K46" s="58"/>
      <c r="L46" s="58"/>
      <c r="M46" s="58"/>
      <c r="N46" s="58"/>
      <c r="O46" s="58"/>
      <c r="P46" s="58"/>
      <c r="Q46" s="58"/>
      <c r="R46" s="58"/>
      <c r="S46" s="58"/>
      <c r="T46" s="58"/>
    </row>
    <row r="47" spans="1:20" ht="12.75">
      <c r="A47" s="58"/>
      <c r="B47" s="58"/>
      <c r="C47" s="58"/>
      <c r="D47" s="66"/>
      <c r="E47" s="66"/>
      <c r="F47" s="66"/>
      <c r="G47" s="58"/>
      <c r="H47" s="58"/>
      <c r="I47" s="58"/>
      <c r="J47" s="58"/>
      <c r="K47" s="58"/>
      <c r="L47" s="58"/>
      <c r="M47" s="58"/>
      <c r="N47" s="58"/>
      <c r="O47" s="58"/>
      <c r="P47" s="58"/>
      <c r="Q47" s="58"/>
      <c r="R47" s="58"/>
      <c r="S47" s="58"/>
      <c r="T47" s="58"/>
    </row>
    <row r="48" spans="1:20" ht="12.75">
      <c r="A48" s="58"/>
      <c r="B48" s="58"/>
      <c r="C48" s="58"/>
      <c r="D48" s="66"/>
      <c r="E48" s="66"/>
      <c r="F48" s="66"/>
      <c r="G48" s="58"/>
      <c r="H48" s="58"/>
      <c r="I48" s="58"/>
      <c r="J48" s="58"/>
      <c r="K48" s="58"/>
      <c r="L48" s="58"/>
      <c r="M48" s="58"/>
      <c r="N48" s="58"/>
      <c r="O48" s="58"/>
      <c r="P48" s="58"/>
      <c r="Q48" s="58"/>
      <c r="R48" s="58"/>
      <c r="S48" s="58"/>
      <c r="T48" s="58"/>
    </row>
    <row r="49" spans="1:20" ht="12.75">
      <c r="A49" s="58"/>
      <c r="B49" s="58"/>
      <c r="C49" s="58"/>
      <c r="D49" s="66"/>
      <c r="E49" s="66"/>
      <c r="F49" s="66"/>
      <c r="G49" s="58"/>
      <c r="H49" s="58"/>
      <c r="I49" s="58"/>
      <c r="J49" s="58"/>
      <c r="K49" s="58"/>
      <c r="L49" s="58"/>
      <c r="M49" s="58"/>
      <c r="N49" s="58"/>
      <c r="O49" s="58"/>
      <c r="P49" s="58"/>
      <c r="Q49" s="58"/>
      <c r="R49" s="58"/>
      <c r="S49" s="58"/>
      <c r="T49" s="58"/>
    </row>
    <row r="50" spans="1:20" ht="12.75">
      <c r="A50" s="58"/>
      <c r="B50" s="58"/>
      <c r="C50" s="58"/>
      <c r="D50" s="66"/>
      <c r="E50" s="66"/>
      <c r="F50" s="66"/>
      <c r="G50" s="58"/>
      <c r="H50" s="58"/>
      <c r="I50" s="58"/>
      <c r="J50" s="58"/>
      <c r="K50" s="58"/>
      <c r="L50" s="58"/>
      <c r="M50" s="58"/>
      <c r="N50" s="58"/>
      <c r="O50" s="58"/>
      <c r="P50" s="58"/>
      <c r="Q50" s="58"/>
      <c r="R50" s="58"/>
      <c r="S50" s="58"/>
      <c r="T50" s="58"/>
    </row>
    <row r="51" spans="1:20" ht="12.75">
      <c r="A51" s="58"/>
      <c r="B51" s="58"/>
      <c r="C51" s="58"/>
      <c r="D51" s="66"/>
      <c r="E51" s="66"/>
      <c r="F51" s="66"/>
      <c r="G51" s="58"/>
      <c r="H51" s="58"/>
      <c r="I51" s="58"/>
      <c r="J51" s="58"/>
      <c r="K51" s="58"/>
      <c r="L51" s="58"/>
      <c r="M51" s="58"/>
      <c r="N51" s="58"/>
      <c r="O51" s="58"/>
      <c r="P51" s="58"/>
      <c r="Q51" s="58"/>
      <c r="R51" s="58"/>
      <c r="S51" s="58"/>
      <c r="T51" s="58"/>
    </row>
    <row r="52" spans="1:20" ht="12.75">
      <c r="A52" s="58"/>
      <c r="B52" s="58"/>
      <c r="C52" s="58"/>
      <c r="D52" s="66"/>
      <c r="E52" s="66"/>
      <c r="F52" s="66"/>
      <c r="G52" s="58"/>
      <c r="H52" s="58"/>
      <c r="I52" s="58"/>
      <c r="J52" s="58"/>
      <c r="K52" s="58"/>
      <c r="L52" s="58"/>
      <c r="M52" s="58"/>
      <c r="N52" s="58"/>
      <c r="O52" s="58"/>
      <c r="P52" s="58"/>
      <c r="Q52" s="58"/>
      <c r="R52" s="58"/>
      <c r="S52" s="58"/>
      <c r="T52" s="58"/>
    </row>
    <row r="53" spans="1:20" ht="12.75">
      <c r="A53" s="58"/>
      <c r="B53" s="58"/>
      <c r="C53" s="58"/>
      <c r="D53" s="66"/>
      <c r="E53" s="66"/>
      <c r="F53" s="66"/>
      <c r="G53" s="58"/>
      <c r="H53" s="58"/>
      <c r="I53" s="58"/>
      <c r="J53" s="58"/>
      <c r="K53" s="58"/>
      <c r="L53" s="58"/>
      <c r="M53" s="58"/>
      <c r="N53" s="58"/>
      <c r="O53" s="58"/>
      <c r="P53" s="58"/>
      <c r="Q53" s="58"/>
      <c r="R53" s="58"/>
      <c r="S53" s="58"/>
      <c r="T53" s="58"/>
    </row>
    <row r="54" spans="1:20" ht="12.75">
      <c r="A54" s="58"/>
      <c r="B54" s="58"/>
      <c r="C54" s="58"/>
      <c r="D54" s="66"/>
      <c r="E54" s="66"/>
      <c r="F54" s="66"/>
      <c r="G54" s="58"/>
      <c r="H54" s="58"/>
      <c r="I54" s="58"/>
      <c r="J54" s="58"/>
      <c r="K54" s="58"/>
      <c r="L54" s="58"/>
      <c r="M54" s="58"/>
      <c r="N54" s="58"/>
      <c r="O54" s="58"/>
      <c r="P54" s="58"/>
      <c r="Q54" s="58"/>
      <c r="R54" s="58"/>
      <c r="S54" s="58"/>
      <c r="T54" s="58"/>
    </row>
    <row r="55" spans="1:20" ht="12.75">
      <c r="A55" s="58"/>
      <c r="B55" s="58"/>
      <c r="C55" s="58"/>
      <c r="D55" s="66"/>
      <c r="E55" s="66"/>
      <c r="F55" s="66"/>
      <c r="G55" s="58"/>
      <c r="H55" s="58"/>
      <c r="I55" s="58"/>
      <c r="J55" s="58"/>
      <c r="K55" s="58"/>
      <c r="L55" s="58"/>
      <c r="M55" s="58"/>
      <c r="N55" s="58"/>
      <c r="O55" s="58"/>
      <c r="P55" s="58"/>
      <c r="Q55" s="58"/>
      <c r="R55" s="58"/>
      <c r="S55" s="58"/>
      <c r="T55" s="58"/>
    </row>
    <row r="56" spans="1:20" ht="12.75">
      <c r="A56" s="58"/>
      <c r="B56" s="58"/>
      <c r="C56" s="58"/>
      <c r="D56" s="66"/>
      <c r="E56" s="66"/>
      <c r="F56" s="66"/>
      <c r="G56" s="58"/>
      <c r="H56" s="58"/>
      <c r="I56" s="58"/>
      <c r="J56" s="58"/>
      <c r="K56" s="58"/>
      <c r="L56" s="58"/>
      <c r="M56" s="58"/>
      <c r="N56" s="58"/>
      <c r="O56" s="58"/>
      <c r="P56" s="58"/>
      <c r="Q56" s="58"/>
      <c r="R56" s="58"/>
      <c r="S56" s="58"/>
      <c r="T56" s="58"/>
    </row>
    <row r="57" spans="1:20" ht="12.75">
      <c r="A57" s="58"/>
      <c r="B57" s="58"/>
      <c r="C57" s="58"/>
      <c r="D57" s="66"/>
      <c r="E57" s="66"/>
      <c r="F57" s="66"/>
      <c r="G57" s="58"/>
      <c r="H57" s="58"/>
      <c r="I57" s="58"/>
      <c r="J57" s="58"/>
      <c r="K57" s="58"/>
      <c r="L57" s="58"/>
      <c r="M57" s="58"/>
      <c r="N57" s="58"/>
      <c r="O57" s="58"/>
      <c r="P57" s="58"/>
      <c r="Q57" s="58"/>
      <c r="R57" s="58"/>
      <c r="S57" s="58"/>
      <c r="T57" s="58"/>
    </row>
    <row r="58" spans="1:20" ht="12.75">
      <c r="A58" s="58"/>
      <c r="B58" s="58"/>
      <c r="C58" s="58"/>
      <c r="D58" s="66"/>
      <c r="E58" s="66"/>
      <c r="F58" s="66"/>
      <c r="G58" s="58"/>
      <c r="H58" s="58"/>
      <c r="I58" s="58"/>
      <c r="J58" s="58"/>
      <c r="K58" s="58"/>
      <c r="L58" s="58"/>
      <c r="M58" s="58"/>
      <c r="N58" s="58"/>
      <c r="O58" s="58"/>
      <c r="P58" s="58"/>
      <c r="Q58" s="58"/>
      <c r="R58" s="58"/>
      <c r="S58" s="58"/>
      <c r="T58" s="58"/>
    </row>
    <row r="59" spans="1:20" ht="12.75">
      <c r="A59" s="58"/>
      <c r="B59" s="58"/>
      <c r="C59" s="58"/>
      <c r="D59" s="66"/>
      <c r="E59" s="66"/>
      <c r="F59" s="66"/>
      <c r="G59" s="58"/>
      <c r="H59" s="58"/>
      <c r="I59" s="58"/>
      <c r="J59" s="58"/>
      <c r="K59" s="58"/>
      <c r="L59" s="58"/>
      <c r="M59" s="58"/>
      <c r="N59" s="58"/>
      <c r="O59" s="58"/>
      <c r="P59" s="58"/>
      <c r="Q59" s="58"/>
      <c r="R59" s="58"/>
      <c r="S59" s="58"/>
      <c r="T59" s="58"/>
    </row>
    <row r="60" spans="1:20" ht="12.75">
      <c r="A60" s="58"/>
      <c r="B60" s="58"/>
      <c r="C60" s="58"/>
      <c r="D60" s="66"/>
      <c r="E60" s="66"/>
      <c r="F60" s="66"/>
      <c r="G60" s="58"/>
      <c r="H60" s="58"/>
      <c r="I60" s="58"/>
      <c r="J60" s="58"/>
      <c r="K60" s="58"/>
      <c r="L60" s="58"/>
      <c r="M60" s="58"/>
      <c r="N60" s="58"/>
      <c r="O60" s="58"/>
      <c r="P60" s="58"/>
      <c r="Q60" s="58"/>
      <c r="R60" s="58"/>
      <c r="S60" s="58"/>
      <c r="T60" s="58"/>
    </row>
    <row r="61" ht="12.75">
      <c r="A61" s="58"/>
    </row>
  </sheetData>
  <sheetProtection/>
  <mergeCells count="1">
    <mergeCell ref="B2:F2"/>
  </mergeCells>
  <printOptions/>
  <pageMargins left="0.75" right="0.75" top="1" bottom="1" header="0.5" footer="0.5"/>
  <pageSetup horizontalDpi="600" verticalDpi="600" orientation="landscape" r:id="rId4"/>
  <drawing r:id="rId3"/>
  <legacyDrawing r:id="rId2"/>
</worksheet>
</file>

<file path=xl/worksheets/sheet9.xml><?xml version="1.0" encoding="utf-8"?>
<worksheet xmlns="http://schemas.openxmlformats.org/spreadsheetml/2006/main" xmlns:r="http://schemas.openxmlformats.org/officeDocument/2006/relationships">
  <sheetPr>
    <tabColor rgb="FF008887"/>
  </sheetPr>
  <dimension ref="A1:T279"/>
  <sheetViews>
    <sheetView zoomScalePageLayoutView="0" workbookViewId="0" topLeftCell="A1">
      <selection activeCell="B5" sqref="B5"/>
    </sheetView>
  </sheetViews>
  <sheetFormatPr defaultColWidth="9.33203125" defaultRowHeight="12.75"/>
  <cols>
    <col min="1" max="1" width="4.16015625" style="0" customWidth="1"/>
    <col min="2" max="2" width="36.66015625" style="0" customWidth="1"/>
    <col min="3" max="3" width="11.83203125" style="0" customWidth="1"/>
    <col min="4" max="4" width="12.83203125" style="0" customWidth="1"/>
    <col min="5" max="5" width="15.5" style="0" customWidth="1"/>
    <col min="6" max="6" width="13.16015625" style="0" customWidth="1"/>
    <col min="7" max="7" width="20.5" style="0" customWidth="1"/>
    <col min="8" max="8" width="16.16015625" style="0" customWidth="1"/>
    <col min="9" max="9" width="13" style="0" customWidth="1"/>
    <col min="10" max="10" width="16.5" style="0" customWidth="1"/>
    <col min="11" max="11" width="14.66015625" style="0" customWidth="1"/>
    <col min="12" max="12" width="16" style="0" customWidth="1"/>
    <col min="13" max="13" width="38.5" style="0" customWidth="1"/>
    <col min="14" max="14" width="12" style="0" customWidth="1"/>
  </cols>
  <sheetData>
    <row r="1" spans="1:20" ht="12.75">
      <c r="A1" s="58"/>
      <c r="B1" s="58"/>
      <c r="C1" s="58"/>
      <c r="D1" s="58"/>
      <c r="E1" s="58"/>
      <c r="F1" s="58"/>
      <c r="G1" s="58"/>
      <c r="H1" s="58"/>
      <c r="I1" s="58"/>
      <c r="J1" s="58"/>
      <c r="K1" s="58"/>
      <c r="L1" s="58"/>
      <c r="M1" s="58"/>
      <c r="N1" s="58"/>
      <c r="O1" s="58"/>
      <c r="P1" s="58"/>
      <c r="Q1" s="58"/>
      <c r="R1" s="58"/>
      <c r="S1" s="58"/>
      <c r="T1" s="58"/>
    </row>
    <row r="2" spans="1:20" ht="30">
      <c r="A2" s="58"/>
      <c r="B2" s="415" t="s">
        <v>272</v>
      </c>
      <c r="C2" s="416"/>
      <c r="D2" s="416"/>
      <c r="E2" s="416"/>
      <c r="F2" s="416"/>
      <c r="G2" s="181"/>
      <c r="H2" s="58"/>
      <c r="I2" s="58"/>
      <c r="J2" s="58"/>
      <c r="K2" s="58"/>
      <c r="L2" s="58"/>
      <c r="M2" s="58"/>
      <c r="N2" s="58"/>
      <c r="O2" s="58"/>
      <c r="P2" s="58"/>
      <c r="Q2" s="58"/>
      <c r="R2" s="58"/>
      <c r="S2" s="58"/>
      <c r="T2" s="58"/>
    </row>
    <row r="3" spans="1:20" ht="13.5">
      <c r="A3" s="58"/>
      <c r="B3" s="68" t="s">
        <v>73</v>
      </c>
      <c r="C3" s="58"/>
      <c r="D3" s="58"/>
      <c r="E3" s="58"/>
      <c r="F3" s="58"/>
      <c r="G3" s="58"/>
      <c r="H3" s="58"/>
      <c r="I3" s="58"/>
      <c r="J3" s="58"/>
      <c r="K3" s="58"/>
      <c r="L3" s="58"/>
      <c r="M3" s="58"/>
      <c r="N3" s="58"/>
      <c r="O3" s="58"/>
      <c r="P3" s="58"/>
      <c r="Q3" s="58"/>
      <c r="R3" s="58"/>
      <c r="S3" s="58"/>
      <c r="T3" s="58"/>
    </row>
    <row r="4" spans="1:20" ht="12.75">
      <c r="A4" s="58"/>
      <c r="B4" s="58"/>
      <c r="C4" s="58"/>
      <c r="D4" s="58"/>
      <c r="E4" s="58"/>
      <c r="F4" s="58"/>
      <c r="G4" s="58"/>
      <c r="H4" s="58"/>
      <c r="I4" s="58"/>
      <c r="J4" s="58"/>
      <c r="K4" s="58"/>
      <c r="L4" s="58"/>
      <c r="M4" s="58"/>
      <c r="N4" s="58"/>
      <c r="O4" s="58"/>
      <c r="P4" s="58"/>
      <c r="Q4" s="58"/>
      <c r="R4" s="58"/>
      <c r="S4" s="58"/>
      <c r="T4" s="58"/>
    </row>
    <row r="5" spans="1:20" ht="15">
      <c r="A5" s="58"/>
      <c r="B5" s="58"/>
      <c r="C5" s="58"/>
      <c r="D5" s="285"/>
      <c r="E5" s="58"/>
      <c r="F5" s="312"/>
      <c r="G5" s="179"/>
      <c r="H5" s="58"/>
      <c r="I5" s="58"/>
      <c r="J5" s="58"/>
      <c r="K5" s="58"/>
      <c r="L5" s="58"/>
      <c r="M5" s="58"/>
      <c r="N5" s="58"/>
      <c r="O5" s="58"/>
      <c r="P5" s="58"/>
      <c r="Q5" s="58"/>
      <c r="R5" s="58"/>
      <c r="S5" s="58"/>
      <c r="T5" s="58"/>
    </row>
    <row r="6" spans="1:20" ht="13.5" thickBot="1">
      <c r="A6" s="58"/>
      <c r="B6" s="179" t="s">
        <v>273</v>
      </c>
      <c r="C6" s="58"/>
      <c r="D6" s="285"/>
      <c r="E6" s="58"/>
      <c r="F6" s="58"/>
      <c r="G6" s="179"/>
      <c r="H6" s="58"/>
      <c r="I6" s="58"/>
      <c r="J6" s="58"/>
      <c r="K6" s="58"/>
      <c r="L6" s="58"/>
      <c r="M6" s="58"/>
      <c r="N6" s="58"/>
      <c r="O6" s="58"/>
      <c r="P6" s="58"/>
      <c r="Q6" s="58"/>
      <c r="R6" s="58"/>
      <c r="S6" s="58"/>
      <c r="T6" s="58"/>
    </row>
    <row r="7" spans="1:20" ht="12.75">
      <c r="A7" s="58"/>
      <c r="B7" s="262" t="s">
        <v>258</v>
      </c>
      <c r="C7" s="272">
        <f>corpyear</f>
        <v>0</v>
      </c>
      <c r="D7" s="285"/>
      <c r="E7" s="58"/>
      <c r="F7" s="58"/>
      <c r="G7" s="179"/>
      <c r="H7" s="58"/>
      <c r="I7" s="58"/>
      <c r="J7" s="58"/>
      <c r="K7" s="58"/>
      <c r="L7" s="58"/>
      <c r="M7" s="58"/>
      <c r="N7" s="286"/>
      <c r="O7" s="58"/>
      <c r="P7" s="58"/>
      <c r="Q7" s="58"/>
      <c r="R7" s="58"/>
      <c r="S7" s="58"/>
      <c r="T7" s="58"/>
    </row>
    <row r="8" spans="1:20" ht="12.75" customHeight="1">
      <c r="A8" s="58"/>
      <c r="B8" s="300" t="s">
        <v>274</v>
      </c>
      <c r="C8" s="268"/>
      <c r="D8" s="424"/>
      <c r="E8" s="425"/>
      <c r="F8" s="425"/>
      <c r="G8" s="58"/>
      <c r="H8" s="58"/>
      <c r="I8" s="58"/>
      <c r="J8" s="58"/>
      <c r="K8" s="58"/>
      <c r="L8" s="58"/>
      <c r="M8" s="58"/>
      <c r="N8" s="58"/>
      <c r="O8" s="58"/>
      <c r="P8" s="58"/>
      <c r="Q8" s="58"/>
      <c r="R8" s="58"/>
      <c r="S8" s="58"/>
      <c r="T8" s="58"/>
    </row>
    <row r="9" spans="1:20" ht="13.5" thickBot="1">
      <c r="A9" s="58"/>
      <c r="B9" s="283" t="s">
        <v>289</v>
      </c>
      <c r="C9" s="284"/>
      <c r="D9" s="424"/>
      <c r="E9" s="425"/>
      <c r="F9" s="425"/>
      <c r="G9" s="58"/>
      <c r="H9" s="58"/>
      <c r="I9" s="58"/>
      <c r="J9" s="58"/>
      <c r="K9" s="58"/>
      <c r="L9" s="58"/>
      <c r="M9" s="58"/>
      <c r="N9" s="58"/>
      <c r="O9" s="58"/>
      <c r="P9" s="58"/>
      <c r="Q9" s="58"/>
      <c r="R9" s="58"/>
      <c r="S9" s="58"/>
      <c r="T9" s="58"/>
    </row>
    <row r="10" spans="1:20" ht="12.75">
      <c r="A10" s="58"/>
      <c r="B10" s="179" t="s">
        <v>259</v>
      </c>
      <c r="C10" s="58"/>
      <c r="D10" s="58"/>
      <c r="E10" s="58"/>
      <c r="F10" s="58"/>
      <c r="G10" s="58"/>
      <c r="H10" s="58"/>
      <c r="I10" s="58"/>
      <c r="J10" s="58"/>
      <c r="K10" s="58"/>
      <c r="L10" s="58"/>
      <c r="M10" s="58"/>
      <c r="N10" s="58"/>
      <c r="O10" s="58"/>
      <c r="P10" s="58"/>
      <c r="Q10" s="58"/>
      <c r="R10" s="58"/>
      <c r="S10" s="58"/>
      <c r="T10" s="58"/>
    </row>
    <row r="11" spans="1:20" ht="12.75">
      <c r="A11" s="58"/>
      <c r="B11" s="58"/>
      <c r="C11" s="58"/>
      <c r="D11" s="58"/>
      <c r="E11" s="58"/>
      <c r="F11" s="58"/>
      <c r="G11" s="58"/>
      <c r="H11" s="58"/>
      <c r="I11" s="58"/>
      <c r="J11" s="58"/>
      <c r="K11" s="58"/>
      <c r="L11" s="58"/>
      <c r="M11" s="58"/>
      <c r="N11" s="58"/>
      <c r="O11" s="58"/>
      <c r="P11" s="58"/>
      <c r="Q11" s="58"/>
      <c r="R11" s="58"/>
      <c r="S11" s="58"/>
      <c r="T11" s="58"/>
    </row>
    <row r="12" spans="1:20" ht="13.5" thickBot="1">
      <c r="A12" s="58"/>
      <c r="B12" s="58"/>
      <c r="C12" s="58"/>
      <c r="D12" s="58"/>
      <c r="E12" s="58"/>
      <c r="F12" s="58"/>
      <c r="G12" s="58"/>
      <c r="H12" s="58"/>
      <c r="I12" s="58"/>
      <c r="J12" s="58"/>
      <c r="K12" s="58"/>
      <c r="L12" s="58"/>
      <c r="M12" s="58"/>
      <c r="N12" s="58"/>
      <c r="O12" s="58"/>
      <c r="P12" s="58"/>
      <c r="Q12" s="58"/>
      <c r="R12" s="58"/>
      <c r="S12" s="58"/>
      <c r="T12" s="58"/>
    </row>
    <row r="13" spans="1:20" ht="26.25" customHeight="1" thickBot="1">
      <c r="A13" s="58"/>
      <c r="B13" s="58"/>
      <c r="C13" s="296" t="s">
        <v>260</v>
      </c>
      <c r="D13" s="327" t="s">
        <v>290</v>
      </c>
      <c r="E13" s="297" t="s">
        <v>261</v>
      </c>
      <c r="F13" s="417" t="s">
        <v>279</v>
      </c>
      <c r="G13" s="418"/>
      <c r="H13" s="58"/>
      <c r="I13" s="428" t="s">
        <v>262</v>
      </c>
      <c r="J13" s="429"/>
      <c r="K13" s="429"/>
      <c r="L13" s="430"/>
      <c r="M13" s="58"/>
      <c r="N13" s="58"/>
      <c r="O13" s="58"/>
      <c r="P13" s="58"/>
      <c r="Q13" s="58"/>
      <c r="R13" s="58"/>
      <c r="S13" s="58"/>
      <c r="T13" s="58"/>
    </row>
    <row r="14" spans="1:20" ht="15" customHeight="1">
      <c r="A14" s="58"/>
      <c r="B14" s="262" t="s">
        <v>55</v>
      </c>
      <c r="C14" s="273" t="e">
        <f>'Corporate Summary'!E9</f>
        <v>#N/A</v>
      </c>
      <c r="D14" s="269"/>
      <c r="E14" s="273" t="e">
        <f>C14*(1+D14)</f>
        <v>#N/A</v>
      </c>
      <c r="F14" s="419"/>
      <c r="G14" s="420"/>
      <c r="H14" s="58"/>
      <c r="I14" s="431" t="s">
        <v>284</v>
      </c>
      <c r="J14" s="432"/>
      <c r="K14" s="432"/>
      <c r="L14" s="433"/>
      <c r="M14" s="58"/>
      <c r="N14" s="58"/>
      <c r="O14" s="58"/>
      <c r="P14" s="58"/>
      <c r="Q14" s="58"/>
      <c r="R14" s="58"/>
      <c r="S14" s="58"/>
      <c r="T14" s="58"/>
    </row>
    <row r="15" spans="1:20" ht="22.5" customHeight="1">
      <c r="A15" s="58"/>
      <c r="B15" s="263" t="s">
        <v>263</v>
      </c>
      <c r="C15" s="274">
        <f>'Corporate Summary'!E10</f>
        <v>0</v>
      </c>
      <c r="D15" s="270"/>
      <c r="E15" s="274">
        <f>C15*(1+D15)</f>
        <v>0</v>
      </c>
      <c r="F15" s="421"/>
      <c r="G15" s="422"/>
      <c r="H15" s="58"/>
      <c r="I15" s="434" t="s">
        <v>285</v>
      </c>
      <c r="J15" s="435"/>
      <c r="K15" s="435"/>
      <c r="L15" s="436"/>
      <c r="M15" s="58"/>
      <c r="N15" s="58"/>
      <c r="O15" s="58"/>
      <c r="P15" s="58"/>
      <c r="Q15" s="58"/>
      <c r="R15" s="58"/>
      <c r="S15" s="58"/>
      <c r="T15" s="58"/>
    </row>
    <row r="16" spans="1:20" ht="19.5" customHeight="1" thickBot="1">
      <c r="A16" s="58"/>
      <c r="B16" s="263" t="s">
        <v>264</v>
      </c>
      <c r="C16" s="274" t="e">
        <f>'Corporate Summary'!E11</f>
        <v>#N/A</v>
      </c>
      <c r="D16" s="270"/>
      <c r="E16" s="274" t="e">
        <f>C16*(1+D16)</f>
        <v>#N/A</v>
      </c>
      <c r="F16" s="423"/>
      <c r="G16" s="422"/>
      <c r="H16" s="58"/>
      <c r="I16" s="437"/>
      <c r="J16" s="438"/>
      <c r="K16" s="438"/>
      <c r="L16" s="439"/>
      <c r="M16" s="58"/>
      <c r="N16" s="58"/>
      <c r="O16" s="58"/>
      <c r="P16" s="58"/>
      <c r="Q16" s="58"/>
      <c r="R16" s="58"/>
      <c r="S16" s="58"/>
      <c r="T16" s="58"/>
    </row>
    <row r="17" spans="1:20" ht="15" customHeight="1">
      <c r="A17" s="58"/>
      <c r="B17" s="281" t="s">
        <v>271</v>
      </c>
      <c r="C17" s="275" t="e">
        <f>'Corporate Summary'!E12</f>
        <v>#N/A</v>
      </c>
      <c r="D17" s="271"/>
      <c r="E17" s="274" t="e">
        <f>C17*(1+D17)</f>
        <v>#N/A</v>
      </c>
      <c r="F17" s="423"/>
      <c r="G17" s="422"/>
      <c r="H17" s="58"/>
      <c r="I17" s="58"/>
      <c r="J17" s="287"/>
      <c r="K17" s="287"/>
      <c r="L17" s="287"/>
      <c r="M17" s="58"/>
      <c r="N17" s="58"/>
      <c r="O17" s="58"/>
      <c r="P17" s="58"/>
      <c r="Q17" s="58"/>
      <c r="R17" s="58"/>
      <c r="S17" s="58"/>
      <c r="T17" s="58"/>
    </row>
    <row r="18" spans="1:20" ht="15" customHeight="1" thickBot="1">
      <c r="A18" s="58"/>
      <c r="B18" s="264" t="s">
        <v>66</v>
      </c>
      <c r="C18" s="275">
        <f>'Corporate Summary'!E13</f>
        <v>0</v>
      </c>
      <c r="D18" s="271"/>
      <c r="E18" s="275">
        <f>C18*(1+D18)</f>
        <v>0</v>
      </c>
      <c r="F18" s="426"/>
      <c r="G18" s="427"/>
      <c r="H18" s="58"/>
      <c r="I18" s="58"/>
      <c r="J18" s="58"/>
      <c r="K18" s="288"/>
      <c r="L18" s="289"/>
      <c r="M18" s="58"/>
      <c r="N18" s="58"/>
      <c r="O18" s="58"/>
      <c r="P18" s="58"/>
      <c r="Q18" s="58"/>
      <c r="R18" s="58"/>
      <c r="S18" s="58"/>
      <c r="T18" s="58"/>
    </row>
    <row r="19" spans="1:20" ht="18.75" thickBot="1">
      <c r="A19" s="58"/>
      <c r="B19" s="265" t="s">
        <v>265</v>
      </c>
      <c r="C19" s="277" t="e">
        <f>SUM(C14:C18)</f>
        <v>#N/A</v>
      </c>
      <c r="D19" s="266"/>
      <c r="E19" s="276" t="e">
        <f>SUM(E14:E18)</f>
        <v>#N/A</v>
      </c>
      <c r="F19" s="298"/>
      <c r="G19" s="299"/>
      <c r="H19" s="58"/>
      <c r="I19" s="62"/>
      <c r="J19" s="62"/>
      <c r="K19" s="62"/>
      <c r="L19" s="62"/>
      <c r="M19" s="62"/>
      <c r="N19" s="62"/>
      <c r="O19" s="62"/>
      <c r="P19" s="58"/>
      <c r="Q19" s="58"/>
      <c r="R19" s="58"/>
      <c r="S19" s="58"/>
      <c r="T19" s="58"/>
    </row>
    <row r="20" spans="1:20" ht="12.75">
      <c r="A20" s="58"/>
      <c r="B20" s="179" t="s">
        <v>291</v>
      </c>
      <c r="C20" s="58"/>
      <c r="D20" s="58"/>
      <c r="E20" s="58"/>
      <c r="F20" s="58"/>
      <c r="G20" s="58"/>
      <c r="H20" s="58"/>
      <c r="I20" s="62"/>
      <c r="J20" s="62"/>
      <c r="K20" s="62"/>
      <c r="L20" s="62"/>
      <c r="M20" s="62"/>
      <c r="N20" s="62"/>
      <c r="O20" s="62"/>
      <c r="P20" s="58"/>
      <c r="Q20" s="58"/>
      <c r="R20" s="58"/>
      <c r="S20" s="58"/>
      <c r="T20" s="58"/>
    </row>
    <row r="21" spans="1:20" ht="12.75">
      <c r="A21" s="58"/>
      <c r="B21" s="58"/>
      <c r="C21" s="58"/>
      <c r="D21" s="58"/>
      <c r="E21" s="58"/>
      <c r="F21" s="58"/>
      <c r="G21" s="58"/>
      <c r="H21" s="58"/>
      <c r="I21" s="62"/>
      <c r="J21" s="307"/>
      <c r="K21" s="311"/>
      <c r="L21" s="124"/>
      <c r="M21" s="307"/>
      <c r="N21" s="311"/>
      <c r="O21" s="62"/>
      <c r="P21" s="58"/>
      <c r="Q21" s="58"/>
      <c r="R21" s="58"/>
      <c r="S21" s="58"/>
      <c r="T21" s="58"/>
    </row>
    <row r="22" spans="1:20" ht="12.75">
      <c r="A22" s="58"/>
      <c r="B22" s="288"/>
      <c r="C22" s="289"/>
      <c r="D22" s="58"/>
      <c r="E22" s="58"/>
      <c r="F22" s="58"/>
      <c r="G22" s="58"/>
      <c r="H22" s="58"/>
      <c r="I22" s="62"/>
      <c r="J22" s="62"/>
      <c r="K22" s="309"/>
      <c r="L22" s="310"/>
      <c r="M22" s="62"/>
      <c r="N22" s="62"/>
      <c r="O22" s="62"/>
      <c r="P22" s="58"/>
      <c r="Q22" s="58"/>
      <c r="R22" s="58"/>
      <c r="S22" s="58"/>
      <c r="T22" s="58"/>
    </row>
    <row r="23" spans="1:20" ht="12.75">
      <c r="A23" s="58"/>
      <c r="B23" s="58"/>
      <c r="C23" s="58"/>
      <c r="D23" s="58"/>
      <c r="E23" s="58"/>
      <c r="F23" s="58"/>
      <c r="G23" s="58"/>
      <c r="H23" s="58"/>
      <c r="I23" s="58"/>
      <c r="J23" s="58"/>
      <c r="K23" s="58"/>
      <c r="L23" s="58"/>
      <c r="M23" s="58"/>
      <c r="N23" s="58"/>
      <c r="O23" s="58"/>
      <c r="P23" s="58"/>
      <c r="Q23" s="58"/>
      <c r="R23" s="58"/>
      <c r="S23" s="58"/>
      <c r="T23" s="58"/>
    </row>
    <row r="24" spans="1:20" ht="12.75">
      <c r="A24" s="58"/>
      <c r="B24" s="58"/>
      <c r="C24" s="58"/>
      <c r="D24" s="58"/>
      <c r="E24" s="58"/>
      <c r="F24" s="58"/>
      <c r="G24" s="58"/>
      <c r="H24" s="58"/>
      <c r="I24" s="58"/>
      <c r="J24" s="58"/>
      <c r="K24" s="58"/>
      <c r="L24" s="58"/>
      <c r="M24" s="58"/>
      <c r="N24" s="58"/>
      <c r="O24" s="58"/>
      <c r="P24" s="58"/>
      <c r="Q24" s="58"/>
      <c r="R24" s="58"/>
      <c r="S24" s="58"/>
      <c r="T24" s="58"/>
    </row>
    <row r="25" spans="1:20" ht="12.75">
      <c r="A25" s="58"/>
      <c r="B25" s="58"/>
      <c r="C25" s="58"/>
      <c r="D25" s="58"/>
      <c r="E25" s="58"/>
      <c r="F25" s="58"/>
      <c r="G25" s="58"/>
      <c r="H25" s="58"/>
      <c r="I25" s="58"/>
      <c r="J25" s="58"/>
      <c r="K25" s="58"/>
      <c r="L25" s="58"/>
      <c r="M25" s="58"/>
      <c r="N25" s="58"/>
      <c r="O25" s="58"/>
      <c r="P25" s="58"/>
      <c r="Q25" s="58"/>
      <c r="R25" s="58"/>
      <c r="S25" s="58"/>
      <c r="T25" s="58"/>
    </row>
    <row r="26" spans="1:20" ht="12.75">
      <c r="A26" s="58"/>
      <c r="B26" s="58"/>
      <c r="C26" s="58"/>
      <c r="D26" s="58"/>
      <c r="E26" s="58"/>
      <c r="F26" s="58"/>
      <c r="G26" s="58"/>
      <c r="H26" s="58"/>
      <c r="I26" s="58"/>
      <c r="J26" s="58"/>
      <c r="K26" s="58"/>
      <c r="L26" s="58"/>
      <c r="M26" s="58"/>
      <c r="N26" s="58"/>
      <c r="O26" s="58"/>
      <c r="P26" s="58"/>
      <c r="Q26" s="58"/>
      <c r="R26" s="58"/>
      <c r="S26" s="58"/>
      <c r="T26" s="58"/>
    </row>
    <row r="27" spans="1:20" ht="12.75">
      <c r="A27" s="58"/>
      <c r="B27" s="58"/>
      <c r="C27" s="58"/>
      <c r="D27" s="58"/>
      <c r="E27" s="58"/>
      <c r="F27" s="58"/>
      <c r="G27" s="58"/>
      <c r="H27" s="58"/>
      <c r="I27" s="58"/>
      <c r="J27" s="58"/>
      <c r="K27" s="58"/>
      <c r="L27" s="58"/>
      <c r="M27" s="58"/>
      <c r="N27" s="58"/>
      <c r="O27" s="58"/>
      <c r="P27" s="58"/>
      <c r="Q27" s="58"/>
      <c r="R27" s="58"/>
      <c r="S27" s="58"/>
      <c r="T27" s="58"/>
    </row>
    <row r="28" spans="1:20" ht="12.75">
      <c r="A28" s="58"/>
      <c r="B28" s="58"/>
      <c r="C28" s="58"/>
      <c r="D28" s="58"/>
      <c r="E28" s="58"/>
      <c r="F28" s="58"/>
      <c r="G28" s="58"/>
      <c r="H28" s="58"/>
      <c r="I28" s="58"/>
      <c r="J28" s="58"/>
      <c r="K28" s="58"/>
      <c r="L28" s="58"/>
      <c r="M28" s="58"/>
      <c r="N28" s="58"/>
      <c r="O28" s="58"/>
      <c r="P28" s="58"/>
      <c r="Q28" s="58"/>
      <c r="R28" s="58"/>
      <c r="S28" s="58"/>
      <c r="T28" s="58"/>
    </row>
    <row r="29" spans="1:20" ht="12.75">
      <c r="A29" s="58"/>
      <c r="B29" s="58"/>
      <c r="C29" s="58"/>
      <c r="D29" s="58"/>
      <c r="E29" s="58"/>
      <c r="F29" s="58"/>
      <c r="G29" s="58"/>
      <c r="H29" s="58"/>
      <c r="I29" s="58"/>
      <c r="J29" s="58"/>
      <c r="K29" s="58"/>
      <c r="L29" s="58"/>
      <c r="M29" s="58"/>
      <c r="N29" s="58"/>
      <c r="O29" s="58"/>
      <c r="P29" s="58"/>
      <c r="Q29" s="58"/>
      <c r="R29" s="58"/>
      <c r="S29" s="58"/>
      <c r="T29" s="58"/>
    </row>
    <row r="30" spans="1:20" ht="12.75">
      <c r="A30" s="58"/>
      <c r="B30" s="58"/>
      <c r="C30" s="58"/>
      <c r="D30" s="58"/>
      <c r="E30" s="58"/>
      <c r="F30" s="58"/>
      <c r="G30" s="58"/>
      <c r="H30" s="58"/>
      <c r="I30" s="58"/>
      <c r="J30" s="58"/>
      <c r="K30" s="58"/>
      <c r="L30" s="58"/>
      <c r="M30" s="58"/>
      <c r="N30" s="58"/>
      <c r="O30" s="58"/>
      <c r="P30" s="58"/>
      <c r="Q30" s="58"/>
      <c r="R30" s="58"/>
      <c r="S30" s="58"/>
      <c r="T30" s="58"/>
    </row>
    <row r="31" spans="1:20" ht="12.75">
      <c r="A31" s="58"/>
      <c r="B31" s="58"/>
      <c r="C31" s="58"/>
      <c r="D31" s="58"/>
      <c r="E31" s="58"/>
      <c r="F31" s="58"/>
      <c r="G31" s="58"/>
      <c r="H31" s="58"/>
      <c r="I31" s="58"/>
      <c r="J31" s="58"/>
      <c r="K31" s="58"/>
      <c r="L31" s="58"/>
      <c r="M31" s="58"/>
      <c r="N31" s="58"/>
      <c r="O31" s="58"/>
      <c r="P31" s="58"/>
      <c r="Q31" s="58"/>
      <c r="R31" s="58"/>
      <c r="S31" s="58"/>
      <c r="T31" s="58"/>
    </row>
    <row r="32" spans="1:20" ht="12.75">
      <c r="A32" s="58"/>
      <c r="B32" s="58"/>
      <c r="C32" s="58"/>
      <c r="D32" s="58"/>
      <c r="E32" s="58"/>
      <c r="F32" s="58"/>
      <c r="G32" s="58"/>
      <c r="H32" s="58"/>
      <c r="I32" s="58"/>
      <c r="J32" s="58"/>
      <c r="K32" s="58"/>
      <c r="L32" s="58"/>
      <c r="M32" s="58"/>
      <c r="N32" s="58"/>
      <c r="O32" s="58"/>
      <c r="P32" s="58"/>
      <c r="Q32" s="58"/>
      <c r="R32" s="58"/>
      <c r="S32" s="58"/>
      <c r="T32" s="58"/>
    </row>
    <row r="33" spans="1:20" ht="12.75">
      <c r="A33" s="58"/>
      <c r="B33" s="58"/>
      <c r="C33" s="290"/>
      <c r="D33" s="58"/>
      <c r="E33" s="58"/>
      <c r="F33" s="58"/>
      <c r="G33" s="58"/>
      <c r="H33" s="58"/>
      <c r="I33" s="58"/>
      <c r="J33" s="58"/>
      <c r="K33" s="58"/>
      <c r="L33" s="58"/>
      <c r="M33" s="58"/>
      <c r="N33" s="58"/>
      <c r="O33" s="58"/>
      <c r="P33" s="58"/>
      <c r="Q33" s="58"/>
      <c r="R33" s="58"/>
      <c r="S33" s="58"/>
      <c r="T33" s="58"/>
    </row>
    <row r="34" spans="1:20" ht="12.75">
      <c r="A34" s="58"/>
      <c r="B34" s="58"/>
      <c r="C34" s="58"/>
      <c r="D34" s="58"/>
      <c r="E34" s="58"/>
      <c r="F34" s="58"/>
      <c r="G34" s="58"/>
      <c r="H34" s="58"/>
      <c r="I34" s="58"/>
      <c r="J34" s="58"/>
      <c r="K34" s="58"/>
      <c r="L34" s="58"/>
      <c r="M34" s="58"/>
      <c r="N34" s="58"/>
      <c r="O34" s="58"/>
      <c r="P34" s="58"/>
      <c r="Q34" s="58"/>
      <c r="R34" s="58"/>
      <c r="S34" s="58"/>
      <c r="T34" s="58"/>
    </row>
    <row r="35" spans="1:20" ht="12.75">
      <c r="A35" s="58"/>
      <c r="B35" s="58"/>
      <c r="C35" s="58"/>
      <c r="D35" s="58"/>
      <c r="E35" s="58"/>
      <c r="F35" s="58"/>
      <c r="G35" s="58"/>
      <c r="H35" s="58"/>
      <c r="I35" s="58"/>
      <c r="J35" s="58"/>
      <c r="K35" s="58"/>
      <c r="L35" s="58"/>
      <c r="M35" s="58"/>
      <c r="N35" s="58"/>
      <c r="O35" s="58"/>
      <c r="P35" s="58"/>
      <c r="Q35" s="58"/>
      <c r="R35" s="58"/>
      <c r="S35" s="58"/>
      <c r="T35" s="58"/>
    </row>
    <row r="36" spans="1:20" ht="12.75">
      <c r="A36" s="58"/>
      <c r="B36" s="58"/>
      <c r="C36" s="58"/>
      <c r="D36" s="58"/>
      <c r="E36" s="58"/>
      <c r="F36" s="58"/>
      <c r="G36" s="58"/>
      <c r="H36" s="58"/>
      <c r="I36" s="58"/>
      <c r="J36" s="58"/>
      <c r="K36" s="58"/>
      <c r="L36" s="58"/>
      <c r="M36" s="58"/>
      <c r="N36" s="58"/>
      <c r="O36" s="58"/>
      <c r="P36" s="58"/>
      <c r="Q36" s="58"/>
      <c r="R36" s="58"/>
      <c r="S36" s="58"/>
      <c r="T36" s="58"/>
    </row>
    <row r="37" spans="1:20" ht="12.75">
      <c r="A37" s="58"/>
      <c r="B37" s="58"/>
      <c r="C37" s="58"/>
      <c r="D37" s="58"/>
      <c r="E37" s="58"/>
      <c r="F37" s="58"/>
      <c r="G37" s="58"/>
      <c r="H37" s="58"/>
      <c r="I37" s="58"/>
      <c r="J37" s="58"/>
      <c r="K37" s="58"/>
      <c r="L37" s="58"/>
      <c r="M37" s="58"/>
      <c r="N37" s="58"/>
      <c r="O37" s="58"/>
      <c r="P37" s="58"/>
      <c r="Q37" s="58"/>
      <c r="R37" s="58"/>
      <c r="S37" s="58"/>
      <c r="T37" s="58"/>
    </row>
    <row r="38" spans="1:20" ht="12.75">
      <c r="A38" s="58"/>
      <c r="B38" s="58"/>
      <c r="C38" s="58"/>
      <c r="D38" s="58"/>
      <c r="E38" s="58"/>
      <c r="F38" s="58"/>
      <c r="G38" s="58"/>
      <c r="H38" s="58"/>
      <c r="I38" s="58"/>
      <c r="J38" s="58"/>
      <c r="K38" s="58"/>
      <c r="L38" s="58"/>
      <c r="M38" s="58"/>
      <c r="N38" s="58"/>
      <c r="O38" s="58"/>
      <c r="P38" s="58"/>
      <c r="Q38" s="58"/>
      <c r="R38" s="58"/>
      <c r="S38" s="58"/>
      <c r="T38" s="58"/>
    </row>
    <row r="39" spans="1:20" ht="12.75">
      <c r="A39" s="58"/>
      <c r="B39" s="58"/>
      <c r="C39" s="58"/>
      <c r="D39" s="58"/>
      <c r="E39" s="58"/>
      <c r="F39" s="58"/>
      <c r="G39" s="58"/>
      <c r="H39" s="58"/>
      <c r="I39" s="58"/>
      <c r="J39" s="58"/>
      <c r="K39" s="58"/>
      <c r="L39" s="58"/>
      <c r="M39" s="58"/>
      <c r="N39" s="58"/>
      <c r="O39" s="58"/>
      <c r="P39" s="58"/>
      <c r="Q39" s="58"/>
      <c r="R39" s="58"/>
      <c r="S39" s="58"/>
      <c r="T39" s="58"/>
    </row>
    <row r="40" spans="1:20" ht="12.75">
      <c r="A40" s="58"/>
      <c r="B40" s="58"/>
      <c r="C40" s="58"/>
      <c r="D40" s="58"/>
      <c r="E40" s="58"/>
      <c r="F40" s="58"/>
      <c r="G40" s="58"/>
      <c r="H40" s="58"/>
      <c r="I40" s="58"/>
      <c r="J40" s="58"/>
      <c r="K40" s="58"/>
      <c r="L40" s="58"/>
      <c r="M40" s="58"/>
      <c r="N40" s="58"/>
      <c r="O40" s="58"/>
      <c r="P40" s="58"/>
      <c r="Q40" s="58"/>
      <c r="R40" s="58"/>
      <c r="S40" s="58"/>
      <c r="T40" s="58"/>
    </row>
    <row r="41" spans="1:20" ht="12.75">
      <c r="A41" s="58"/>
      <c r="B41" s="58"/>
      <c r="C41" s="58"/>
      <c r="D41" s="58"/>
      <c r="E41" s="58"/>
      <c r="F41" s="58"/>
      <c r="G41" s="58"/>
      <c r="H41" s="58"/>
      <c r="I41" s="58"/>
      <c r="J41" s="58"/>
      <c r="K41" s="58"/>
      <c r="L41" s="58"/>
      <c r="M41" s="58"/>
      <c r="N41" s="58"/>
      <c r="O41" s="58"/>
      <c r="P41" s="58"/>
      <c r="Q41" s="58"/>
      <c r="R41" s="58"/>
      <c r="S41" s="58"/>
      <c r="T41" s="58"/>
    </row>
    <row r="42" spans="1:20" ht="12.75">
      <c r="A42" s="58"/>
      <c r="B42" s="58"/>
      <c r="C42" s="58"/>
      <c r="D42" s="58"/>
      <c r="E42" s="58"/>
      <c r="F42" s="58"/>
      <c r="G42" s="58"/>
      <c r="H42" s="58"/>
      <c r="I42" s="58"/>
      <c r="J42" s="58"/>
      <c r="K42" s="58"/>
      <c r="L42" s="58"/>
      <c r="M42" s="58"/>
      <c r="N42" s="58"/>
      <c r="O42" s="58"/>
      <c r="P42" s="58"/>
      <c r="Q42" s="58"/>
      <c r="R42" s="58"/>
      <c r="S42" s="58"/>
      <c r="T42" s="58"/>
    </row>
    <row r="43" spans="1:20" ht="12.75">
      <c r="A43" s="58"/>
      <c r="B43" s="58"/>
      <c r="C43" s="58"/>
      <c r="D43" s="58"/>
      <c r="E43" s="58"/>
      <c r="F43" s="58"/>
      <c r="G43" s="58"/>
      <c r="H43" s="58"/>
      <c r="I43" s="58"/>
      <c r="J43" s="58"/>
      <c r="K43" s="58"/>
      <c r="L43" s="58"/>
      <c r="M43" s="58"/>
      <c r="N43" s="58"/>
      <c r="O43" s="58"/>
      <c r="P43" s="58"/>
      <c r="Q43" s="58"/>
      <c r="R43" s="58"/>
      <c r="S43" s="58"/>
      <c r="T43" s="58"/>
    </row>
    <row r="44" spans="1:20" ht="12.75">
      <c r="A44" s="58"/>
      <c r="B44" s="58"/>
      <c r="C44" s="58"/>
      <c r="D44" s="58"/>
      <c r="E44" s="58"/>
      <c r="F44" s="58"/>
      <c r="G44" s="58"/>
      <c r="H44" s="58"/>
      <c r="I44" s="58"/>
      <c r="J44" s="58"/>
      <c r="K44" s="58"/>
      <c r="L44" s="58"/>
      <c r="M44" s="58"/>
      <c r="N44" s="58"/>
      <c r="O44" s="58"/>
      <c r="P44" s="58"/>
      <c r="Q44" s="58"/>
      <c r="R44" s="58"/>
      <c r="S44" s="58"/>
      <c r="T44" s="58"/>
    </row>
    <row r="45" spans="1:20" ht="12.75">
      <c r="A45" s="58"/>
      <c r="B45" s="58"/>
      <c r="C45" s="58"/>
      <c r="D45" s="58"/>
      <c r="E45" s="58"/>
      <c r="F45" s="58"/>
      <c r="G45" s="58"/>
      <c r="H45" s="58"/>
      <c r="I45" s="58"/>
      <c r="J45" s="58"/>
      <c r="K45" s="58"/>
      <c r="L45" s="58"/>
      <c r="M45" s="58"/>
      <c r="N45" s="58"/>
      <c r="O45" s="58"/>
      <c r="P45" s="58"/>
      <c r="Q45" s="58"/>
      <c r="R45" s="58"/>
      <c r="S45" s="58"/>
      <c r="T45" s="58"/>
    </row>
    <row r="46" spans="1:20" ht="12.75">
      <c r="A46" s="58"/>
      <c r="B46" s="58" t="s">
        <v>266</v>
      </c>
      <c r="C46" s="58"/>
      <c r="D46" s="58"/>
      <c r="E46" s="58"/>
      <c r="F46" s="58"/>
      <c r="G46" s="58"/>
      <c r="H46" s="58" t="s">
        <v>267</v>
      </c>
      <c r="I46" s="346" t="s">
        <v>269</v>
      </c>
      <c r="J46" s="346" t="s">
        <v>268</v>
      </c>
      <c r="K46" s="58"/>
      <c r="L46" s="58"/>
      <c r="M46" s="58"/>
      <c r="N46" s="58"/>
      <c r="O46" s="58"/>
      <c r="P46" s="58"/>
      <c r="Q46" s="58"/>
      <c r="R46" s="58"/>
      <c r="S46" s="58"/>
      <c r="T46" s="58"/>
    </row>
    <row r="47" spans="1:20" ht="12.75">
      <c r="A47" s="58"/>
      <c r="B47" s="2" t="s">
        <v>268</v>
      </c>
      <c r="C47" s="278">
        <f>C7</f>
        <v>0</v>
      </c>
      <c r="D47" s="279" t="e">
        <f>C19</f>
        <v>#N/A</v>
      </c>
      <c r="E47" s="58"/>
      <c r="F47" s="58"/>
      <c r="G47" s="58"/>
      <c r="H47" s="267" t="str">
        <f aca="true" t="shared" si="0" ref="H47:I49">B14</f>
        <v>Buildings</v>
      </c>
      <c r="I47" s="282" t="e">
        <f t="shared" si="0"/>
        <v>#N/A</v>
      </c>
      <c r="J47" s="279" t="e">
        <f>E14</f>
        <v>#N/A</v>
      </c>
      <c r="K47" s="58"/>
      <c r="L47" s="285"/>
      <c r="M47" s="294"/>
      <c r="N47" s="58"/>
      <c r="O47" s="58"/>
      <c r="P47" s="58"/>
      <c r="Q47" s="58"/>
      <c r="R47" s="58"/>
      <c r="S47" s="58"/>
      <c r="T47" s="58"/>
    </row>
    <row r="48" spans="1:20" ht="12.75">
      <c r="A48" s="58"/>
      <c r="B48" s="2"/>
      <c r="C48" s="280">
        <f>(C47+((C49-C47)*0.5))</f>
        <v>0</v>
      </c>
      <c r="D48" s="279" t="e">
        <f>(C19+((E19-C19)*0.5))</f>
        <v>#N/A</v>
      </c>
      <c r="E48" s="58"/>
      <c r="F48" s="58"/>
      <c r="G48" s="58"/>
      <c r="H48" s="267" t="str">
        <f t="shared" si="0"/>
        <v>Fleet</v>
      </c>
      <c r="I48" s="282">
        <f t="shared" si="0"/>
        <v>0</v>
      </c>
      <c r="J48" s="279">
        <f>E15</f>
        <v>0</v>
      </c>
      <c r="K48" s="58"/>
      <c r="L48" s="295"/>
      <c r="M48" s="294"/>
      <c r="N48" s="58"/>
      <c r="O48" s="58"/>
      <c r="P48" s="58"/>
      <c r="Q48" s="58"/>
      <c r="R48" s="58"/>
      <c r="S48" s="58"/>
      <c r="T48" s="58"/>
    </row>
    <row r="49" spans="1:20" ht="12.75">
      <c r="A49" s="58"/>
      <c r="B49" s="2"/>
      <c r="C49" s="278">
        <f>C8</f>
        <v>0</v>
      </c>
      <c r="D49" s="279" t="e">
        <f>E19</f>
        <v>#N/A</v>
      </c>
      <c r="E49" s="58"/>
      <c r="F49" s="58"/>
      <c r="G49" s="58"/>
      <c r="H49" s="267" t="str">
        <f t="shared" si="0"/>
        <v>Lighting</v>
      </c>
      <c r="I49" s="282" t="e">
        <f t="shared" si="0"/>
        <v>#N/A</v>
      </c>
      <c r="J49" s="279" t="e">
        <f>E16</f>
        <v>#N/A</v>
      </c>
      <c r="K49" s="58"/>
      <c r="L49" s="285"/>
      <c r="M49" s="294"/>
      <c r="N49" s="58"/>
      <c r="O49" s="58"/>
      <c r="P49" s="58"/>
      <c r="Q49" s="58"/>
      <c r="R49" s="58"/>
      <c r="S49" s="58"/>
      <c r="T49" s="58"/>
    </row>
    <row r="50" spans="1:20" ht="12.75">
      <c r="A50" s="58"/>
      <c r="B50" s="2" t="s">
        <v>269</v>
      </c>
      <c r="C50" s="278">
        <f>C7</f>
        <v>0</v>
      </c>
      <c r="D50" s="279" t="e">
        <f>C19</f>
        <v>#N/A</v>
      </c>
      <c r="E50" s="58"/>
      <c r="F50" s="58"/>
      <c r="G50" s="58"/>
      <c r="H50" s="145" t="s">
        <v>271</v>
      </c>
      <c r="I50" s="282" t="e">
        <f>C17</f>
        <v>#N/A</v>
      </c>
      <c r="J50" s="279" t="e">
        <f>E17</f>
        <v>#N/A</v>
      </c>
      <c r="K50" s="58"/>
      <c r="L50" s="285"/>
      <c r="M50" s="294"/>
      <c r="N50" s="58"/>
      <c r="O50" s="58"/>
      <c r="P50" s="58"/>
      <c r="Q50" s="58"/>
      <c r="R50" s="58"/>
      <c r="S50" s="58"/>
      <c r="T50" s="58"/>
    </row>
    <row r="51" spans="1:20" ht="12.75">
      <c r="A51" s="58"/>
      <c r="B51" s="2"/>
      <c r="C51" s="280">
        <f>C48</f>
        <v>0</v>
      </c>
      <c r="D51" s="279" t="e">
        <f>C19</f>
        <v>#N/A</v>
      </c>
      <c r="E51" s="58"/>
      <c r="F51" s="58"/>
      <c r="G51" s="58"/>
      <c r="H51" s="267" t="str">
        <f>B18</f>
        <v>Waste</v>
      </c>
      <c r="I51" s="282">
        <f>C18</f>
        <v>0</v>
      </c>
      <c r="J51" s="279">
        <f>E18</f>
        <v>0</v>
      </c>
      <c r="K51" s="58"/>
      <c r="L51" s="295"/>
      <c r="M51" s="294"/>
      <c r="N51" s="58"/>
      <c r="O51" s="58"/>
      <c r="P51" s="58"/>
      <c r="Q51" s="58"/>
      <c r="R51" s="58"/>
      <c r="S51" s="58"/>
      <c r="T51" s="58"/>
    </row>
    <row r="52" spans="1:20" ht="12.75">
      <c r="A52" s="58"/>
      <c r="B52" s="2"/>
      <c r="C52" s="278">
        <f>C8</f>
        <v>0</v>
      </c>
      <c r="D52" s="279" t="e">
        <f>C19</f>
        <v>#N/A</v>
      </c>
      <c r="E52" s="58"/>
      <c r="F52" s="58"/>
      <c r="G52" s="58"/>
      <c r="H52" s="58"/>
      <c r="I52" s="58"/>
      <c r="J52" s="58"/>
      <c r="K52" s="58"/>
      <c r="L52" s="285"/>
      <c r="M52" s="294"/>
      <c r="N52" s="58"/>
      <c r="O52" s="58"/>
      <c r="P52" s="58"/>
      <c r="Q52" s="58"/>
      <c r="R52" s="58"/>
      <c r="S52" s="58"/>
      <c r="T52" s="58"/>
    </row>
    <row r="53" spans="1:20" ht="12.75">
      <c r="A53" s="58"/>
      <c r="B53" s="2" t="str">
        <f>TEXT(C9,"0%")&amp;" Reduction"</f>
        <v>0% Reduction</v>
      </c>
      <c r="C53" s="278">
        <f>C7</f>
        <v>0</v>
      </c>
      <c r="D53" s="279" t="e">
        <f>C19</f>
        <v>#N/A</v>
      </c>
      <c r="E53" s="58"/>
      <c r="F53" s="58"/>
      <c r="G53" s="58"/>
      <c r="H53" s="58"/>
      <c r="I53" s="58"/>
      <c r="J53" s="58"/>
      <c r="K53" s="58"/>
      <c r="L53" s="285"/>
      <c r="M53" s="294"/>
      <c r="N53" s="58"/>
      <c r="O53" s="58"/>
      <c r="P53" s="58"/>
      <c r="Q53" s="58"/>
      <c r="R53" s="58"/>
      <c r="S53" s="58"/>
      <c r="T53" s="58"/>
    </row>
    <row r="54" spans="1:20" ht="12.75">
      <c r="A54" s="58"/>
      <c r="B54" s="2"/>
      <c r="C54" s="280">
        <f>C48</f>
        <v>0</v>
      </c>
      <c r="D54" s="279" t="e">
        <f>C19*(1-C9*0.5)</f>
        <v>#N/A</v>
      </c>
      <c r="E54" s="58"/>
      <c r="F54" s="58"/>
      <c r="G54" s="58"/>
      <c r="H54" s="58"/>
      <c r="I54" s="58"/>
      <c r="J54" s="58"/>
      <c r="K54" s="58"/>
      <c r="L54" s="295"/>
      <c r="M54" s="294"/>
      <c r="N54" s="58"/>
      <c r="O54" s="58"/>
      <c r="P54" s="58"/>
      <c r="Q54" s="58"/>
      <c r="R54" s="58"/>
      <c r="S54" s="58"/>
      <c r="T54" s="58"/>
    </row>
    <row r="55" spans="1:20" ht="12.75">
      <c r="A55" s="58"/>
      <c r="B55" s="2"/>
      <c r="C55" s="278">
        <f>C8</f>
        <v>0</v>
      </c>
      <c r="D55" s="279" t="e">
        <f>D53*(1-C9)</f>
        <v>#N/A</v>
      </c>
      <c r="E55" s="58"/>
      <c r="F55" s="58"/>
      <c r="G55" s="58"/>
      <c r="H55" s="58"/>
      <c r="I55" s="58"/>
      <c r="J55" s="58"/>
      <c r="K55" s="58"/>
      <c r="L55" s="285"/>
      <c r="M55" s="294"/>
      <c r="N55" s="58"/>
      <c r="O55" s="58"/>
      <c r="P55" s="58"/>
      <c r="Q55" s="58"/>
      <c r="R55" s="58"/>
      <c r="S55" s="58"/>
      <c r="T55" s="58"/>
    </row>
    <row r="56" spans="1:20" ht="12.75">
      <c r="A56" s="58"/>
      <c r="B56" s="58"/>
      <c r="C56" s="58"/>
      <c r="D56" s="58"/>
      <c r="E56" s="58"/>
      <c r="F56" s="58"/>
      <c r="G56" s="58"/>
      <c r="H56" s="58"/>
      <c r="I56" s="58"/>
      <c r="J56" s="58"/>
      <c r="K56" s="58"/>
      <c r="L56" s="58"/>
      <c r="M56" s="58"/>
      <c r="N56" s="58"/>
      <c r="O56" s="58"/>
      <c r="P56" s="58"/>
      <c r="Q56" s="58"/>
      <c r="R56" s="58"/>
      <c r="S56" s="58"/>
      <c r="T56" s="58"/>
    </row>
    <row r="57" spans="1:20" ht="12.75">
      <c r="A57" s="58"/>
      <c r="B57" s="58"/>
      <c r="C57" s="58"/>
      <c r="D57" s="58"/>
      <c r="E57" s="58"/>
      <c r="F57" s="58"/>
      <c r="G57" s="58"/>
      <c r="H57" s="58"/>
      <c r="I57" s="58"/>
      <c r="J57" s="58"/>
      <c r="K57" s="58"/>
      <c r="L57" s="58"/>
      <c r="M57" s="58"/>
      <c r="N57" s="58"/>
      <c r="O57" s="58"/>
      <c r="P57" s="58"/>
      <c r="Q57" s="58"/>
      <c r="R57" s="58"/>
      <c r="S57" s="58"/>
      <c r="T57" s="58"/>
    </row>
    <row r="58" spans="1:20" ht="12.75">
      <c r="A58" s="58"/>
      <c r="B58" s="58"/>
      <c r="C58" s="58"/>
      <c r="D58" s="58"/>
      <c r="E58" s="58"/>
      <c r="F58" s="58"/>
      <c r="G58" s="58"/>
      <c r="H58" s="58"/>
      <c r="I58" s="58"/>
      <c r="J58" s="58"/>
      <c r="K58" s="58"/>
      <c r="L58" s="58"/>
      <c r="M58" s="58"/>
      <c r="N58" s="58"/>
      <c r="O58" s="58"/>
      <c r="P58" s="58"/>
      <c r="Q58" s="58"/>
      <c r="R58" s="58"/>
      <c r="S58" s="58"/>
      <c r="T58" s="58"/>
    </row>
    <row r="59" spans="1:20" ht="12.75">
      <c r="A59" s="58"/>
      <c r="B59" s="58"/>
      <c r="C59" s="58"/>
      <c r="D59" s="58"/>
      <c r="E59" s="58"/>
      <c r="F59" s="58"/>
      <c r="G59" s="58"/>
      <c r="H59" s="58"/>
      <c r="I59" s="58"/>
      <c r="J59" s="58"/>
      <c r="K59" s="58"/>
      <c r="L59" s="58"/>
      <c r="M59" s="58"/>
      <c r="N59" s="58"/>
      <c r="O59" s="58"/>
      <c r="P59" s="58"/>
      <c r="Q59" s="58"/>
      <c r="R59" s="58"/>
      <c r="S59" s="58"/>
      <c r="T59" s="58"/>
    </row>
    <row r="60" spans="1:20" ht="12.75">
      <c r="A60" s="58"/>
      <c r="B60" s="58"/>
      <c r="C60" s="58"/>
      <c r="D60" s="58"/>
      <c r="E60" s="58"/>
      <c r="F60" s="58"/>
      <c r="G60" s="58"/>
      <c r="H60" s="58"/>
      <c r="I60" s="58"/>
      <c r="J60" s="58"/>
      <c r="K60" s="58"/>
      <c r="L60" s="58"/>
      <c r="M60" s="58"/>
      <c r="N60" s="58"/>
      <c r="O60" s="58"/>
      <c r="P60" s="58"/>
      <c r="Q60" s="58"/>
      <c r="R60" s="58"/>
      <c r="S60" s="58"/>
      <c r="T60" s="58"/>
    </row>
    <row r="61" spans="1:20" ht="12.75">
      <c r="A61" s="58"/>
      <c r="B61" s="58"/>
      <c r="C61" s="58"/>
      <c r="D61" s="58"/>
      <c r="E61" s="58"/>
      <c r="F61" s="58"/>
      <c r="G61" s="58"/>
      <c r="H61" s="58"/>
      <c r="I61" s="58"/>
      <c r="J61" s="58"/>
      <c r="K61" s="58"/>
      <c r="L61" s="58"/>
      <c r="M61" s="58"/>
      <c r="N61" s="58"/>
      <c r="O61" s="58"/>
      <c r="P61" s="58"/>
      <c r="Q61" s="58"/>
      <c r="R61" s="58"/>
      <c r="S61" s="58"/>
      <c r="T61" s="58"/>
    </row>
    <row r="62" spans="1:20" ht="12.75">
      <c r="A62" s="58"/>
      <c r="B62" s="58"/>
      <c r="C62" s="58"/>
      <c r="D62" s="58"/>
      <c r="E62" s="58"/>
      <c r="F62" s="58"/>
      <c r="G62" s="58"/>
      <c r="H62" s="58"/>
      <c r="I62" s="58"/>
      <c r="J62" s="58"/>
      <c r="K62" s="58"/>
      <c r="L62" s="58"/>
      <c r="M62" s="58"/>
      <c r="N62" s="58"/>
      <c r="O62" s="58"/>
      <c r="P62" s="58"/>
      <c r="Q62" s="58"/>
      <c r="R62" s="58"/>
      <c r="S62" s="58"/>
      <c r="T62" s="58"/>
    </row>
    <row r="63" spans="1:20" ht="12.75">
      <c r="A63" s="58"/>
      <c r="B63" s="58"/>
      <c r="C63" s="58"/>
      <c r="D63" s="58"/>
      <c r="E63" s="58"/>
      <c r="F63" s="58"/>
      <c r="G63" s="58"/>
      <c r="H63" s="58"/>
      <c r="I63" s="58"/>
      <c r="J63" s="58"/>
      <c r="K63" s="58"/>
      <c r="L63" s="58"/>
      <c r="M63" s="58"/>
      <c r="N63" s="58"/>
      <c r="O63" s="58"/>
      <c r="P63" s="58"/>
      <c r="Q63" s="58"/>
      <c r="R63" s="58"/>
      <c r="S63" s="58"/>
      <c r="T63" s="58"/>
    </row>
    <row r="64" spans="1:20" ht="12.75">
      <c r="A64" s="58"/>
      <c r="B64" s="58"/>
      <c r="C64" s="58"/>
      <c r="D64" s="58"/>
      <c r="E64" s="58"/>
      <c r="F64" s="58"/>
      <c r="G64" s="58"/>
      <c r="H64" s="58"/>
      <c r="I64" s="58"/>
      <c r="J64" s="58"/>
      <c r="K64" s="58"/>
      <c r="L64" s="58"/>
      <c r="M64" s="58"/>
      <c r="N64" s="58"/>
      <c r="O64" s="58"/>
      <c r="P64" s="58"/>
      <c r="Q64" s="58"/>
      <c r="R64" s="58"/>
      <c r="S64" s="58"/>
      <c r="T64" s="58"/>
    </row>
    <row r="65" spans="1:20" ht="12.75">
      <c r="A65" s="58"/>
      <c r="B65" s="58"/>
      <c r="C65" s="58"/>
      <c r="D65" s="58"/>
      <c r="E65" s="58"/>
      <c r="F65" s="58"/>
      <c r="G65" s="58"/>
      <c r="H65" s="58"/>
      <c r="I65" s="58"/>
      <c r="J65" s="58"/>
      <c r="K65" s="58"/>
      <c r="L65" s="58"/>
      <c r="M65" s="58"/>
      <c r="N65" s="58"/>
      <c r="O65" s="58"/>
      <c r="P65" s="58"/>
      <c r="Q65" s="58"/>
      <c r="R65" s="58"/>
      <c r="S65" s="58"/>
      <c r="T65" s="58"/>
    </row>
    <row r="66" spans="1:20" ht="12.75">
      <c r="A66" s="58"/>
      <c r="B66" s="58"/>
      <c r="C66" s="58"/>
      <c r="D66" s="58"/>
      <c r="E66" s="58"/>
      <c r="F66" s="58"/>
      <c r="G66" s="58"/>
      <c r="H66" s="58"/>
      <c r="I66" s="58"/>
      <c r="J66" s="58"/>
      <c r="K66" s="58"/>
      <c r="L66" s="58"/>
      <c r="M66" s="58"/>
      <c r="N66" s="58"/>
      <c r="O66" s="58"/>
      <c r="P66" s="58"/>
      <c r="Q66" s="58"/>
      <c r="R66" s="58"/>
      <c r="S66" s="58"/>
      <c r="T66" s="58"/>
    </row>
    <row r="67" spans="1:20" ht="12.75">
      <c r="A67" s="58"/>
      <c r="B67" s="58"/>
      <c r="C67" s="58"/>
      <c r="D67" s="58"/>
      <c r="E67" s="58"/>
      <c r="F67" s="58"/>
      <c r="G67" s="58"/>
      <c r="H67" s="58"/>
      <c r="I67" s="58"/>
      <c r="J67" s="58"/>
      <c r="K67" s="58"/>
      <c r="L67" s="58"/>
      <c r="M67" s="58"/>
      <c r="N67" s="58"/>
      <c r="O67" s="58"/>
      <c r="P67" s="58"/>
      <c r="Q67" s="58"/>
      <c r="R67" s="58"/>
      <c r="S67" s="58"/>
      <c r="T67" s="58"/>
    </row>
    <row r="68" spans="1:20" ht="12.75">
      <c r="A68" s="58"/>
      <c r="B68" s="58"/>
      <c r="C68" s="58"/>
      <c r="D68" s="58"/>
      <c r="E68" s="58"/>
      <c r="F68" s="58"/>
      <c r="G68" s="58"/>
      <c r="H68" s="58"/>
      <c r="I68" s="58"/>
      <c r="J68" s="58"/>
      <c r="K68" s="58"/>
      <c r="L68" s="58"/>
      <c r="M68" s="58"/>
      <c r="N68" s="58"/>
      <c r="O68" s="58"/>
      <c r="P68" s="58"/>
      <c r="Q68" s="58"/>
      <c r="R68" s="58"/>
      <c r="S68" s="58"/>
      <c r="T68" s="58"/>
    </row>
    <row r="69" spans="1:20" ht="12.75">
      <c r="A69" s="58"/>
      <c r="B69" s="58"/>
      <c r="C69" s="58"/>
      <c r="D69" s="58"/>
      <c r="E69" s="58"/>
      <c r="F69" s="58"/>
      <c r="G69" s="58"/>
      <c r="H69" s="58"/>
      <c r="I69" s="58"/>
      <c r="J69" s="58"/>
      <c r="K69" s="58"/>
      <c r="L69" s="58"/>
      <c r="M69" s="58"/>
      <c r="N69" s="58"/>
      <c r="O69" s="58"/>
      <c r="P69" s="58"/>
      <c r="Q69" s="58"/>
      <c r="R69" s="58"/>
      <c r="S69" s="58"/>
      <c r="T69" s="58"/>
    </row>
    <row r="70" spans="1:20" ht="12.75">
      <c r="A70" s="58"/>
      <c r="B70" s="58"/>
      <c r="C70" s="58"/>
      <c r="D70" s="58"/>
      <c r="E70" s="58"/>
      <c r="F70" s="58"/>
      <c r="G70" s="58"/>
      <c r="H70" s="58"/>
      <c r="I70" s="58"/>
      <c r="J70" s="58"/>
      <c r="K70" s="58"/>
      <c r="L70" s="58"/>
      <c r="M70" s="58"/>
      <c r="N70" s="58"/>
      <c r="O70" s="58"/>
      <c r="P70" s="58"/>
      <c r="Q70" s="58"/>
      <c r="R70" s="58"/>
      <c r="S70" s="58"/>
      <c r="T70" s="58"/>
    </row>
    <row r="71" spans="1:20" ht="12.75">
      <c r="A71" s="58"/>
      <c r="B71" s="58"/>
      <c r="C71" s="58"/>
      <c r="D71" s="58"/>
      <c r="E71" s="58"/>
      <c r="F71" s="58"/>
      <c r="G71" s="58"/>
      <c r="H71" s="58"/>
      <c r="I71" s="58"/>
      <c r="J71" s="58"/>
      <c r="K71" s="58"/>
      <c r="L71" s="58"/>
      <c r="M71" s="58"/>
      <c r="N71" s="58"/>
      <c r="O71" s="58"/>
      <c r="P71" s="58"/>
      <c r="Q71" s="58"/>
      <c r="R71" s="58"/>
      <c r="S71" s="58"/>
      <c r="T71" s="58"/>
    </row>
    <row r="72" spans="1:20" ht="12.75">
      <c r="A72" s="58"/>
      <c r="B72" s="58"/>
      <c r="C72" s="58"/>
      <c r="D72" s="58"/>
      <c r="E72" s="58"/>
      <c r="F72" s="58"/>
      <c r="G72" s="58"/>
      <c r="H72" s="58"/>
      <c r="I72" s="58"/>
      <c r="J72" s="58"/>
      <c r="K72" s="58"/>
      <c r="L72" s="58"/>
      <c r="M72" s="58"/>
      <c r="N72" s="58"/>
      <c r="O72" s="58"/>
      <c r="P72" s="58"/>
      <c r="Q72" s="58"/>
      <c r="R72" s="58"/>
      <c r="S72" s="58"/>
      <c r="T72" s="58"/>
    </row>
    <row r="73" spans="1:20" ht="12.75">
      <c r="A73" s="58"/>
      <c r="B73" s="58"/>
      <c r="C73" s="58"/>
      <c r="D73" s="58"/>
      <c r="E73" s="58"/>
      <c r="F73" s="58"/>
      <c r="G73" s="58"/>
      <c r="H73" s="58"/>
      <c r="I73" s="58"/>
      <c r="J73" s="58"/>
      <c r="K73" s="58"/>
      <c r="L73" s="58"/>
      <c r="M73" s="58"/>
      <c r="N73" s="58"/>
      <c r="O73" s="58"/>
      <c r="P73" s="58"/>
      <c r="Q73" s="58"/>
      <c r="R73" s="58"/>
      <c r="S73" s="58"/>
      <c r="T73" s="58"/>
    </row>
    <row r="74" spans="1:20" ht="12.75">
      <c r="A74" s="58"/>
      <c r="B74" s="58"/>
      <c r="C74" s="58"/>
      <c r="D74" s="58"/>
      <c r="E74" s="58"/>
      <c r="F74" s="58"/>
      <c r="G74" s="58"/>
      <c r="H74" s="58"/>
      <c r="I74" s="58"/>
      <c r="J74" s="58"/>
      <c r="K74" s="58"/>
      <c r="L74" s="58"/>
      <c r="M74" s="58"/>
      <c r="N74" s="58"/>
      <c r="O74" s="58"/>
      <c r="P74" s="58"/>
      <c r="Q74" s="58"/>
      <c r="R74" s="58"/>
      <c r="S74" s="58"/>
      <c r="T74" s="58"/>
    </row>
    <row r="75" spans="1:20" ht="12.75">
      <c r="A75" s="58"/>
      <c r="B75" s="58"/>
      <c r="C75" s="58"/>
      <c r="D75" s="58"/>
      <c r="E75" s="58"/>
      <c r="F75" s="58"/>
      <c r="G75" s="58"/>
      <c r="H75" s="58"/>
      <c r="I75" s="58"/>
      <c r="J75" s="58"/>
      <c r="K75" s="58"/>
      <c r="L75" s="58"/>
      <c r="M75" s="58"/>
      <c r="N75" s="58"/>
      <c r="O75" s="58"/>
      <c r="P75" s="58"/>
      <c r="Q75" s="58"/>
      <c r="R75" s="58"/>
      <c r="S75" s="58"/>
      <c r="T75" s="58"/>
    </row>
    <row r="76" spans="1:20" ht="12.75">
      <c r="A76" s="58"/>
      <c r="B76" s="58"/>
      <c r="C76" s="58"/>
      <c r="D76" s="58"/>
      <c r="E76" s="58"/>
      <c r="F76" s="58"/>
      <c r="G76" s="58"/>
      <c r="H76" s="58"/>
      <c r="I76" s="58"/>
      <c r="J76" s="58"/>
      <c r="K76" s="58"/>
      <c r="L76" s="58"/>
      <c r="M76" s="58"/>
      <c r="N76" s="58"/>
      <c r="O76" s="58"/>
      <c r="P76" s="58"/>
      <c r="Q76" s="58"/>
      <c r="R76" s="58"/>
      <c r="S76" s="58"/>
      <c r="T76" s="58"/>
    </row>
    <row r="77" spans="1:20" ht="12.75">
      <c r="A77" s="58"/>
      <c r="B77" s="58"/>
      <c r="C77" s="58"/>
      <c r="D77" s="58"/>
      <c r="E77" s="58"/>
      <c r="F77" s="58"/>
      <c r="G77" s="58"/>
      <c r="H77" s="58"/>
      <c r="I77" s="58"/>
      <c r="J77" s="58"/>
      <c r="K77" s="58"/>
      <c r="L77" s="58"/>
      <c r="M77" s="58"/>
      <c r="N77" s="58"/>
      <c r="O77" s="58"/>
      <c r="P77" s="58"/>
      <c r="Q77" s="58"/>
      <c r="R77" s="58"/>
      <c r="S77" s="58"/>
      <c r="T77" s="58"/>
    </row>
    <row r="78" spans="1:20" ht="12.75">
      <c r="A78" s="58"/>
      <c r="B78" s="58"/>
      <c r="C78" s="58"/>
      <c r="D78" s="58"/>
      <c r="E78" s="58"/>
      <c r="F78" s="58"/>
      <c r="G78" s="58"/>
      <c r="H78" s="58"/>
      <c r="I78" s="58"/>
      <c r="J78" s="58"/>
      <c r="K78" s="58"/>
      <c r="L78" s="58"/>
      <c r="M78" s="58"/>
      <c r="N78" s="58"/>
      <c r="O78" s="58"/>
      <c r="P78" s="58"/>
      <c r="Q78" s="58"/>
      <c r="R78" s="58"/>
      <c r="S78" s="58"/>
      <c r="T78" s="58"/>
    </row>
    <row r="79" spans="1:20" ht="12.75">
      <c r="A79" s="58"/>
      <c r="B79" s="58"/>
      <c r="C79" s="58"/>
      <c r="D79" s="58"/>
      <c r="E79" s="58"/>
      <c r="F79" s="58"/>
      <c r="G79" s="58"/>
      <c r="H79" s="58"/>
      <c r="I79" s="58"/>
      <c r="J79" s="58"/>
      <c r="K79" s="58"/>
      <c r="L79" s="58"/>
      <c r="M79" s="58"/>
      <c r="N79" s="58"/>
      <c r="O79" s="58"/>
      <c r="P79" s="58"/>
      <c r="Q79" s="58"/>
      <c r="R79" s="58"/>
      <c r="S79" s="58"/>
      <c r="T79" s="58"/>
    </row>
    <row r="80" spans="1:20" ht="12.75">
      <c r="A80" s="58"/>
      <c r="B80" s="58"/>
      <c r="C80" s="58"/>
      <c r="D80" s="58"/>
      <c r="E80" s="58"/>
      <c r="F80" s="58"/>
      <c r="G80" s="58"/>
      <c r="H80" s="58"/>
      <c r="I80" s="58"/>
      <c r="J80" s="58"/>
      <c r="K80" s="58"/>
      <c r="L80" s="58"/>
      <c r="M80" s="58"/>
      <c r="N80" s="58"/>
      <c r="O80" s="58"/>
      <c r="P80" s="58"/>
      <c r="Q80" s="58"/>
      <c r="R80" s="58"/>
      <c r="S80" s="58"/>
      <c r="T80" s="58"/>
    </row>
    <row r="81" spans="1:20" ht="12.75">
      <c r="A81" s="58"/>
      <c r="B81" s="58"/>
      <c r="C81" s="58"/>
      <c r="D81" s="58"/>
      <c r="E81" s="58"/>
      <c r="F81" s="58"/>
      <c r="G81" s="58"/>
      <c r="H81" s="58"/>
      <c r="I81" s="58"/>
      <c r="J81" s="58"/>
      <c r="K81" s="58"/>
      <c r="L81" s="58"/>
      <c r="M81" s="58"/>
      <c r="N81" s="58"/>
      <c r="O81" s="58"/>
      <c r="P81" s="58"/>
      <c r="Q81" s="58"/>
      <c r="R81" s="58"/>
      <c r="S81" s="58"/>
      <c r="T81" s="58"/>
    </row>
    <row r="82" spans="1:20" ht="12.75">
      <c r="A82" s="58"/>
      <c r="B82" s="58"/>
      <c r="C82" s="58"/>
      <c r="D82" s="58"/>
      <c r="E82" s="58"/>
      <c r="F82" s="58"/>
      <c r="G82" s="58"/>
      <c r="H82" s="58"/>
      <c r="I82" s="58"/>
      <c r="J82" s="58"/>
      <c r="K82" s="58"/>
      <c r="L82" s="58"/>
      <c r="M82" s="58"/>
      <c r="N82" s="58"/>
      <c r="O82" s="58"/>
      <c r="P82" s="58"/>
      <c r="Q82" s="58"/>
      <c r="R82" s="58"/>
      <c r="S82" s="58"/>
      <c r="T82" s="58"/>
    </row>
    <row r="83" spans="1:20" ht="12.75">
      <c r="A83" s="58"/>
      <c r="B83" s="58"/>
      <c r="C83" s="58"/>
      <c r="D83" s="58"/>
      <c r="E83" s="58"/>
      <c r="F83" s="58"/>
      <c r="G83" s="58"/>
      <c r="H83" s="58"/>
      <c r="I83" s="58"/>
      <c r="J83" s="58"/>
      <c r="K83" s="58"/>
      <c r="L83" s="58"/>
      <c r="M83" s="58"/>
      <c r="N83" s="58"/>
      <c r="O83" s="58"/>
      <c r="P83" s="58"/>
      <c r="Q83" s="58"/>
      <c r="R83" s="58"/>
      <c r="S83" s="58"/>
      <c r="T83" s="58"/>
    </row>
    <row r="84" spans="1:20" ht="12.75">
      <c r="A84" s="58"/>
      <c r="B84" s="58"/>
      <c r="C84" s="58"/>
      <c r="D84" s="58"/>
      <c r="E84" s="58"/>
      <c r="F84" s="58"/>
      <c r="G84" s="58"/>
      <c r="H84" s="58"/>
      <c r="I84" s="58"/>
      <c r="J84" s="58"/>
      <c r="K84" s="58"/>
      <c r="L84" s="58"/>
      <c r="M84" s="58"/>
      <c r="N84" s="58"/>
      <c r="O84" s="58"/>
      <c r="P84" s="58"/>
      <c r="Q84" s="58"/>
      <c r="R84" s="58"/>
      <c r="S84" s="58"/>
      <c r="T84" s="58"/>
    </row>
    <row r="85" spans="1:20" ht="12.75">
      <c r="A85" s="58"/>
      <c r="B85" s="58"/>
      <c r="C85" s="58"/>
      <c r="D85" s="58"/>
      <c r="E85" s="58"/>
      <c r="F85" s="58"/>
      <c r="G85" s="58"/>
      <c r="H85" s="58"/>
      <c r="I85" s="58"/>
      <c r="J85" s="58"/>
      <c r="K85" s="58"/>
      <c r="L85" s="58"/>
      <c r="M85" s="58"/>
      <c r="N85" s="58"/>
      <c r="O85" s="58"/>
      <c r="P85" s="58"/>
      <c r="Q85" s="58"/>
      <c r="R85" s="58"/>
      <c r="S85" s="58"/>
      <c r="T85" s="58"/>
    </row>
    <row r="86" spans="1:20" ht="12.75">
      <c r="A86" s="58"/>
      <c r="B86" s="58"/>
      <c r="C86" s="58"/>
      <c r="D86" s="58"/>
      <c r="E86" s="58"/>
      <c r="F86" s="58"/>
      <c r="G86" s="58"/>
      <c r="H86" s="58"/>
      <c r="I86" s="58"/>
      <c r="J86" s="58"/>
      <c r="K86" s="58"/>
      <c r="L86" s="58"/>
      <c r="M86" s="58"/>
      <c r="N86" s="58"/>
      <c r="O86" s="58"/>
      <c r="P86" s="58"/>
      <c r="Q86" s="58"/>
      <c r="R86" s="58"/>
      <c r="S86" s="58"/>
      <c r="T86" s="58"/>
    </row>
    <row r="87" spans="1:20" ht="12.75">
      <c r="A87" s="58"/>
      <c r="B87" s="58"/>
      <c r="C87" s="58"/>
      <c r="D87" s="58"/>
      <c r="E87" s="58"/>
      <c r="F87" s="58"/>
      <c r="G87" s="58"/>
      <c r="H87" s="58"/>
      <c r="I87" s="58"/>
      <c r="J87" s="58"/>
      <c r="K87" s="58"/>
      <c r="L87" s="58"/>
      <c r="M87" s="58"/>
      <c r="N87" s="58"/>
      <c r="O87" s="58"/>
      <c r="P87" s="58"/>
      <c r="Q87" s="58"/>
      <c r="R87" s="58"/>
      <c r="S87" s="58"/>
      <c r="T87" s="58"/>
    </row>
    <row r="88" spans="1:20" ht="12.75">
      <c r="A88" s="58"/>
      <c r="B88" s="58"/>
      <c r="C88" s="58"/>
      <c r="D88" s="58"/>
      <c r="E88" s="58"/>
      <c r="F88" s="58"/>
      <c r="G88" s="58"/>
      <c r="H88" s="58"/>
      <c r="I88" s="58"/>
      <c r="J88" s="58"/>
      <c r="K88" s="58"/>
      <c r="L88" s="58"/>
      <c r="M88" s="58"/>
      <c r="N88" s="58"/>
      <c r="O88" s="58"/>
      <c r="P88" s="58"/>
      <c r="Q88" s="58"/>
      <c r="R88" s="58"/>
      <c r="S88" s="58"/>
      <c r="T88" s="58"/>
    </row>
    <row r="89" spans="1:20" ht="12.75">
      <c r="A89" s="58"/>
      <c r="B89" s="58"/>
      <c r="C89" s="58"/>
      <c r="D89" s="58"/>
      <c r="E89" s="58"/>
      <c r="F89" s="58"/>
      <c r="G89" s="58"/>
      <c r="H89" s="58"/>
      <c r="I89" s="58"/>
      <c r="J89" s="58"/>
      <c r="K89" s="58"/>
      <c r="L89" s="58"/>
      <c r="M89" s="58"/>
      <c r="N89" s="58"/>
      <c r="O89" s="58"/>
      <c r="P89" s="58"/>
      <c r="Q89" s="58"/>
      <c r="R89" s="58"/>
      <c r="S89" s="58"/>
      <c r="T89" s="58"/>
    </row>
    <row r="90" spans="1:20" ht="12.75">
      <c r="A90" s="58"/>
      <c r="B90" s="58"/>
      <c r="C90" s="58"/>
      <c r="D90" s="58"/>
      <c r="E90" s="58"/>
      <c r="F90" s="58"/>
      <c r="G90" s="58"/>
      <c r="H90" s="58"/>
      <c r="I90" s="58"/>
      <c r="J90" s="58"/>
      <c r="K90" s="58"/>
      <c r="L90" s="58"/>
      <c r="M90" s="58"/>
      <c r="N90" s="58"/>
      <c r="O90" s="58"/>
      <c r="P90" s="58"/>
      <c r="Q90" s="58"/>
      <c r="R90" s="58"/>
      <c r="S90" s="58"/>
      <c r="T90" s="58"/>
    </row>
    <row r="91" spans="1:20" ht="12.75">
      <c r="A91" s="58"/>
      <c r="B91" s="58"/>
      <c r="C91" s="58"/>
      <c r="D91" s="58"/>
      <c r="E91" s="58"/>
      <c r="F91" s="58"/>
      <c r="G91" s="58"/>
      <c r="H91" s="58"/>
      <c r="I91" s="58"/>
      <c r="J91" s="58"/>
      <c r="K91" s="58"/>
      <c r="L91" s="58"/>
      <c r="M91" s="58"/>
      <c r="N91" s="58"/>
      <c r="O91" s="58"/>
      <c r="P91" s="58"/>
      <c r="Q91" s="58"/>
      <c r="R91" s="58"/>
      <c r="S91" s="58"/>
      <c r="T91" s="58"/>
    </row>
    <row r="92" spans="1:20" ht="12.75">
      <c r="A92" s="58"/>
      <c r="B92" s="58"/>
      <c r="C92" s="58"/>
      <c r="D92" s="58"/>
      <c r="E92" s="58"/>
      <c r="F92" s="58"/>
      <c r="G92" s="58"/>
      <c r="H92" s="58"/>
      <c r="I92" s="58"/>
      <c r="J92" s="58"/>
      <c r="K92" s="58"/>
      <c r="L92" s="58"/>
      <c r="M92" s="58"/>
      <c r="N92" s="58"/>
      <c r="O92" s="58"/>
      <c r="P92" s="58"/>
      <c r="Q92" s="58"/>
      <c r="R92" s="58"/>
      <c r="S92" s="58"/>
      <c r="T92" s="58"/>
    </row>
    <row r="93" spans="1:20" ht="12.75">
      <c r="A93" s="58"/>
      <c r="B93" s="58"/>
      <c r="C93" s="58"/>
      <c r="D93" s="58"/>
      <c r="E93" s="58"/>
      <c r="F93" s="58"/>
      <c r="G93" s="58"/>
      <c r="H93" s="58"/>
      <c r="I93" s="58"/>
      <c r="J93" s="58"/>
      <c r="K93" s="58"/>
      <c r="L93" s="58"/>
      <c r="M93" s="58"/>
      <c r="N93" s="58"/>
      <c r="O93" s="58"/>
      <c r="P93" s="58"/>
      <c r="Q93" s="58"/>
      <c r="R93" s="58"/>
      <c r="S93" s="58"/>
      <c r="T93" s="58"/>
    </row>
    <row r="94" spans="1:20" ht="12.75">
      <c r="A94" s="58"/>
      <c r="B94" s="58"/>
      <c r="C94" s="58"/>
      <c r="D94" s="58"/>
      <c r="E94" s="58"/>
      <c r="F94" s="58"/>
      <c r="G94" s="58"/>
      <c r="H94" s="58"/>
      <c r="I94" s="58"/>
      <c r="J94" s="58"/>
      <c r="K94" s="58"/>
      <c r="L94" s="58"/>
      <c r="M94" s="58"/>
      <c r="N94" s="58"/>
      <c r="O94" s="58"/>
      <c r="P94" s="58"/>
      <c r="Q94" s="58"/>
      <c r="R94" s="58"/>
      <c r="S94" s="58"/>
      <c r="T94" s="58"/>
    </row>
    <row r="95" spans="1:20" ht="12.75">
      <c r="A95" s="58"/>
      <c r="B95" s="58"/>
      <c r="C95" s="58"/>
      <c r="D95" s="58"/>
      <c r="E95" s="58"/>
      <c r="F95" s="58"/>
      <c r="G95" s="58"/>
      <c r="H95" s="58"/>
      <c r="I95" s="58"/>
      <c r="J95" s="58"/>
      <c r="K95" s="58"/>
      <c r="L95" s="58"/>
      <c r="M95" s="58"/>
      <c r="N95" s="58"/>
      <c r="O95" s="58"/>
      <c r="P95" s="58"/>
      <c r="Q95" s="58"/>
      <c r="R95" s="58"/>
      <c r="S95" s="58"/>
      <c r="T95" s="58"/>
    </row>
    <row r="96" spans="1:20" ht="12.75">
      <c r="A96" s="58"/>
      <c r="B96" s="58"/>
      <c r="C96" s="58"/>
      <c r="D96" s="58"/>
      <c r="E96" s="58"/>
      <c r="F96" s="58"/>
      <c r="G96" s="58"/>
      <c r="H96" s="58"/>
      <c r="I96" s="58"/>
      <c r="J96" s="58"/>
      <c r="K96" s="58"/>
      <c r="L96" s="58"/>
      <c r="M96" s="58"/>
      <c r="N96" s="58"/>
      <c r="O96" s="58"/>
      <c r="P96" s="58"/>
      <c r="Q96" s="58"/>
      <c r="R96" s="58"/>
      <c r="S96" s="58"/>
      <c r="T96" s="58"/>
    </row>
    <row r="97" spans="1:20" ht="12.75">
      <c r="A97" s="58"/>
      <c r="B97" s="58"/>
      <c r="C97" s="58"/>
      <c r="D97" s="58"/>
      <c r="E97" s="58"/>
      <c r="F97" s="58"/>
      <c r="G97" s="58"/>
      <c r="H97" s="58"/>
      <c r="I97" s="58"/>
      <c r="J97" s="58"/>
      <c r="K97" s="58"/>
      <c r="L97" s="58"/>
      <c r="M97" s="58"/>
      <c r="N97" s="58"/>
      <c r="O97" s="58"/>
      <c r="P97" s="58"/>
      <c r="Q97" s="58"/>
      <c r="R97" s="58"/>
      <c r="S97" s="58"/>
      <c r="T97" s="58"/>
    </row>
    <row r="98" spans="1:20" ht="12.75">
      <c r="A98" s="58"/>
      <c r="B98" s="58"/>
      <c r="C98" s="58"/>
      <c r="D98" s="58"/>
      <c r="E98" s="58"/>
      <c r="F98" s="58"/>
      <c r="G98" s="58"/>
      <c r="H98" s="58"/>
      <c r="I98" s="58"/>
      <c r="J98" s="58"/>
      <c r="K98" s="58"/>
      <c r="L98" s="58"/>
      <c r="M98" s="58"/>
      <c r="N98" s="58"/>
      <c r="O98" s="58"/>
      <c r="P98" s="58"/>
      <c r="Q98" s="58"/>
      <c r="R98" s="58"/>
      <c r="S98" s="58"/>
      <c r="T98" s="58"/>
    </row>
    <row r="99" spans="1:20" ht="12.75">
      <c r="A99" s="58"/>
      <c r="B99" s="58"/>
      <c r="C99" s="58"/>
      <c r="D99" s="58"/>
      <c r="E99" s="58"/>
      <c r="F99" s="58"/>
      <c r="G99" s="58"/>
      <c r="H99" s="58"/>
      <c r="I99" s="58"/>
      <c r="J99" s="58"/>
      <c r="K99" s="58"/>
      <c r="L99" s="58"/>
      <c r="M99" s="58"/>
      <c r="N99" s="58"/>
      <c r="O99" s="58"/>
      <c r="P99" s="58"/>
      <c r="Q99" s="58"/>
      <c r="R99" s="58"/>
      <c r="S99" s="58"/>
      <c r="T99" s="58"/>
    </row>
    <row r="100" spans="1:20" ht="12.75">
      <c r="A100" s="58"/>
      <c r="B100" s="58"/>
      <c r="C100" s="58"/>
      <c r="D100" s="58"/>
      <c r="E100" s="58"/>
      <c r="F100" s="58"/>
      <c r="G100" s="58"/>
      <c r="H100" s="58"/>
      <c r="I100" s="58"/>
      <c r="J100" s="58"/>
      <c r="K100" s="58"/>
      <c r="L100" s="58"/>
      <c r="M100" s="58"/>
      <c r="N100" s="58"/>
      <c r="O100" s="58"/>
      <c r="P100" s="58"/>
      <c r="Q100" s="58"/>
      <c r="R100" s="58"/>
      <c r="S100" s="58"/>
      <c r="T100" s="58"/>
    </row>
    <row r="101" spans="1:20" ht="12.75">
      <c r="A101" s="58"/>
      <c r="B101" s="58"/>
      <c r="C101" s="58"/>
      <c r="D101" s="58"/>
      <c r="E101" s="58"/>
      <c r="F101" s="58"/>
      <c r="G101" s="58"/>
      <c r="H101" s="58"/>
      <c r="I101" s="58"/>
      <c r="J101" s="58"/>
      <c r="K101" s="58"/>
      <c r="L101" s="58"/>
      <c r="M101" s="58"/>
      <c r="N101" s="58"/>
      <c r="O101" s="58"/>
      <c r="P101" s="58"/>
      <c r="Q101" s="58"/>
      <c r="R101" s="58"/>
      <c r="S101" s="58"/>
      <c r="T101" s="58"/>
    </row>
    <row r="102" spans="1:20" ht="12.75">
      <c r="A102" s="58"/>
      <c r="B102" s="58"/>
      <c r="C102" s="58"/>
      <c r="D102" s="58"/>
      <c r="E102" s="58"/>
      <c r="F102" s="58"/>
      <c r="G102" s="58"/>
      <c r="H102" s="58"/>
      <c r="I102" s="58"/>
      <c r="J102" s="58"/>
      <c r="K102" s="58"/>
      <c r="L102" s="58"/>
      <c r="M102" s="58"/>
      <c r="N102" s="58"/>
      <c r="O102" s="58"/>
      <c r="P102" s="58"/>
      <c r="Q102" s="58"/>
      <c r="R102" s="58"/>
      <c r="S102" s="58"/>
      <c r="T102" s="58"/>
    </row>
    <row r="103" spans="1:20" ht="12.75">
      <c r="A103" s="58"/>
      <c r="B103" s="58"/>
      <c r="C103" s="58"/>
      <c r="D103" s="58"/>
      <c r="E103" s="58"/>
      <c r="F103" s="58"/>
      <c r="G103" s="58"/>
      <c r="H103" s="58"/>
      <c r="I103" s="58"/>
      <c r="J103" s="58"/>
      <c r="K103" s="58"/>
      <c r="L103" s="58"/>
      <c r="M103" s="58"/>
      <c r="N103" s="58"/>
      <c r="O103" s="58"/>
      <c r="P103" s="58"/>
      <c r="Q103" s="58"/>
      <c r="R103" s="58"/>
      <c r="S103" s="58"/>
      <c r="T103" s="58"/>
    </row>
    <row r="104" spans="1:20" ht="12.75">
      <c r="A104" s="58"/>
      <c r="B104" s="58"/>
      <c r="C104" s="58"/>
      <c r="D104" s="58"/>
      <c r="E104" s="58"/>
      <c r="F104" s="58"/>
      <c r="G104" s="58"/>
      <c r="H104" s="58"/>
      <c r="I104" s="58"/>
      <c r="J104" s="58"/>
      <c r="K104" s="58"/>
      <c r="L104" s="58"/>
      <c r="M104" s="58"/>
      <c r="N104" s="58"/>
      <c r="O104" s="58"/>
      <c r="P104" s="58"/>
      <c r="Q104" s="58"/>
      <c r="R104" s="58"/>
      <c r="S104" s="58"/>
      <c r="T104" s="58"/>
    </row>
    <row r="105" spans="1:20" ht="12.75">
      <c r="A105" s="58"/>
      <c r="B105" s="58"/>
      <c r="C105" s="58"/>
      <c r="D105" s="58"/>
      <c r="E105" s="58"/>
      <c r="F105" s="58"/>
      <c r="G105" s="58"/>
      <c r="H105" s="58"/>
      <c r="I105" s="58"/>
      <c r="J105" s="58"/>
      <c r="K105" s="58"/>
      <c r="L105" s="58"/>
      <c r="M105" s="58"/>
      <c r="N105" s="58"/>
      <c r="O105" s="58"/>
      <c r="P105" s="58"/>
      <c r="Q105" s="58"/>
      <c r="R105" s="58"/>
      <c r="S105" s="58"/>
      <c r="T105" s="58"/>
    </row>
    <row r="106" spans="1:20" ht="12.75">
      <c r="A106" s="58"/>
      <c r="B106" s="58"/>
      <c r="C106" s="58"/>
      <c r="D106" s="58"/>
      <c r="E106" s="58"/>
      <c r="F106" s="58"/>
      <c r="G106" s="58"/>
      <c r="H106" s="58"/>
      <c r="I106" s="58"/>
      <c r="J106" s="58"/>
      <c r="K106" s="58"/>
      <c r="L106" s="58"/>
      <c r="M106" s="58"/>
      <c r="N106" s="58"/>
      <c r="O106" s="58"/>
      <c r="P106" s="58"/>
      <c r="Q106" s="58"/>
      <c r="R106" s="58"/>
      <c r="S106" s="58"/>
      <c r="T106" s="58"/>
    </row>
    <row r="107" spans="1:20" ht="12.75">
      <c r="A107" s="58"/>
      <c r="B107" s="58"/>
      <c r="C107" s="58"/>
      <c r="D107" s="58"/>
      <c r="E107" s="58"/>
      <c r="F107" s="58"/>
      <c r="G107" s="58"/>
      <c r="H107" s="58"/>
      <c r="I107" s="58"/>
      <c r="J107" s="58"/>
      <c r="K107" s="58"/>
      <c r="L107" s="58"/>
      <c r="M107" s="58"/>
      <c r="N107" s="58"/>
      <c r="O107" s="58"/>
      <c r="P107" s="58"/>
      <c r="Q107" s="58"/>
      <c r="R107" s="58"/>
      <c r="S107" s="58"/>
      <c r="T107" s="58"/>
    </row>
    <row r="108" spans="1:20" ht="12.75">
      <c r="A108" s="58"/>
      <c r="B108" s="58"/>
      <c r="C108" s="58"/>
      <c r="D108" s="58"/>
      <c r="E108" s="58"/>
      <c r="F108" s="58"/>
      <c r="G108" s="58"/>
      <c r="H108" s="58"/>
      <c r="I108" s="58"/>
      <c r="J108" s="58"/>
      <c r="K108" s="58"/>
      <c r="L108" s="58"/>
      <c r="M108" s="58"/>
      <c r="N108" s="58"/>
      <c r="O108" s="58"/>
      <c r="P108" s="58"/>
      <c r="Q108" s="58"/>
      <c r="R108" s="58"/>
      <c r="S108" s="58"/>
      <c r="T108" s="58"/>
    </row>
    <row r="109" spans="1:20" ht="12.75">
      <c r="A109" s="58"/>
      <c r="B109" s="58"/>
      <c r="C109" s="58"/>
      <c r="D109" s="58"/>
      <c r="E109" s="58"/>
      <c r="F109" s="58"/>
      <c r="G109" s="58"/>
      <c r="H109" s="58"/>
      <c r="I109" s="58"/>
      <c r="J109" s="58"/>
      <c r="K109" s="58"/>
      <c r="L109" s="58"/>
      <c r="M109" s="58"/>
      <c r="N109" s="58"/>
      <c r="O109" s="58"/>
      <c r="P109" s="58"/>
      <c r="Q109" s="58"/>
      <c r="R109" s="58"/>
      <c r="S109" s="58"/>
      <c r="T109" s="58"/>
    </row>
    <row r="110" spans="1:20" ht="12.75">
      <c r="A110" s="58"/>
      <c r="B110" s="58"/>
      <c r="C110" s="58"/>
      <c r="D110" s="58"/>
      <c r="E110" s="58"/>
      <c r="F110" s="58"/>
      <c r="G110" s="58"/>
      <c r="H110" s="58"/>
      <c r="I110" s="58"/>
      <c r="J110" s="58"/>
      <c r="K110" s="58"/>
      <c r="L110" s="58"/>
      <c r="M110" s="58"/>
      <c r="N110" s="58"/>
      <c r="O110" s="58"/>
      <c r="P110" s="58"/>
      <c r="Q110" s="58"/>
      <c r="R110" s="58"/>
      <c r="S110" s="58"/>
      <c r="T110" s="58"/>
    </row>
    <row r="111" spans="1:20" ht="12.75">
      <c r="A111" s="58"/>
      <c r="B111" s="58"/>
      <c r="C111" s="58"/>
      <c r="D111" s="58"/>
      <c r="E111" s="58"/>
      <c r="F111" s="58"/>
      <c r="G111" s="58"/>
      <c r="H111" s="58"/>
      <c r="I111" s="58"/>
      <c r="J111" s="58"/>
      <c r="K111" s="58"/>
      <c r="L111" s="58"/>
      <c r="M111" s="58"/>
      <c r="N111" s="58"/>
      <c r="O111" s="58"/>
      <c r="P111" s="58"/>
      <c r="Q111" s="58"/>
      <c r="R111" s="58"/>
      <c r="S111" s="58"/>
      <c r="T111" s="58"/>
    </row>
    <row r="112" spans="1:20" ht="12.75">
      <c r="A112" s="58"/>
      <c r="B112" s="58"/>
      <c r="C112" s="58"/>
      <c r="D112" s="58"/>
      <c r="E112" s="58"/>
      <c r="F112" s="58"/>
      <c r="G112" s="58"/>
      <c r="H112" s="58"/>
      <c r="I112" s="58"/>
      <c r="J112" s="58"/>
      <c r="K112" s="58"/>
      <c r="L112" s="58"/>
      <c r="M112" s="58"/>
      <c r="N112" s="58"/>
      <c r="O112" s="58"/>
      <c r="P112" s="58"/>
      <c r="Q112" s="58"/>
      <c r="R112" s="58"/>
      <c r="S112" s="58"/>
      <c r="T112" s="58"/>
    </row>
    <row r="113" spans="1:20" ht="12.75">
      <c r="A113" s="58"/>
      <c r="B113" s="58"/>
      <c r="C113" s="58"/>
      <c r="D113" s="58"/>
      <c r="E113" s="58"/>
      <c r="F113" s="58"/>
      <c r="G113" s="58"/>
      <c r="H113" s="58"/>
      <c r="I113" s="58"/>
      <c r="J113" s="58"/>
      <c r="K113" s="58"/>
      <c r="L113" s="58"/>
      <c r="M113" s="58"/>
      <c r="N113" s="58"/>
      <c r="O113" s="58"/>
      <c r="P113" s="58"/>
      <c r="Q113" s="58"/>
      <c r="R113" s="58"/>
      <c r="S113" s="58"/>
      <c r="T113" s="58"/>
    </row>
    <row r="114" spans="1:20" ht="12.75">
      <c r="A114" s="58"/>
      <c r="B114" s="58"/>
      <c r="C114" s="58"/>
      <c r="D114" s="58"/>
      <c r="E114" s="58"/>
      <c r="F114" s="58"/>
      <c r="G114" s="58"/>
      <c r="H114" s="58"/>
      <c r="I114" s="58"/>
      <c r="J114" s="58"/>
      <c r="K114" s="58"/>
      <c r="L114" s="58"/>
      <c r="M114" s="58"/>
      <c r="N114" s="58"/>
      <c r="O114" s="58"/>
      <c r="P114" s="58"/>
      <c r="Q114" s="58"/>
      <c r="R114" s="58"/>
      <c r="S114" s="58"/>
      <c r="T114" s="58"/>
    </row>
    <row r="115" spans="1:20" ht="12.75">
      <c r="A115" s="58"/>
      <c r="B115" s="58"/>
      <c r="C115" s="58"/>
      <c r="D115" s="58"/>
      <c r="E115" s="58"/>
      <c r="F115" s="58"/>
      <c r="G115" s="58"/>
      <c r="H115" s="58"/>
      <c r="I115" s="58"/>
      <c r="J115" s="58"/>
      <c r="K115" s="58"/>
      <c r="L115" s="58"/>
      <c r="M115" s="58"/>
      <c r="N115" s="58"/>
      <c r="O115" s="58"/>
      <c r="P115" s="58"/>
      <c r="Q115" s="58"/>
      <c r="R115" s="58"/>
      <c r="S115" s="58"/>
      <c r="T115" s="58"/>
    </row>
    <row r="116" spans="1:20" ht="12.75">
      <c r="A116" s="58"/>
      <c r="B116" s="58"/>
      <c r="C116" s="58"/>
      <c r="D116" s="58"/>
      <c r="E116" s="58"/>
      <c r="F116" s="58"/>
      <c r="G116" s="58"/>
      <c r="H116" s="58"/>
      <c r="I116" s="58"/>
      <c r="J116" s="58"/>
      <c r="K116" s="58"/>
      <c r="L116" s="58"/>
      <c r="M116" s="58"/>
      <c r="N116" s="58"/>
      <c r="O116" s="58"/>
      <c r="P116" s="58"/>
      <c r="Q116" s="58"/>
      <c r="R116" s="58"/>
      <c r="S116" s="58"/>
      <c r="T116" s="58"/>
    </row>
    <row r="117" spans="1:20" ht="12.75">
      <c r="A117" s="58"/>
      <c r="B117" s="58"/>
      <c r="C117" s="58"/>
      <c r="D117" s="58"/>
      <c r="E117" s="58"/>
      <c r="F117" s="58"/>
      <c r="G117" s="58"/>
      <c r="H117" s="58"/>
      <c r="I117" s="58"/>
      <c r="J117" s="58"/>
      <c r="K117" s="58"/>
      <c r="L117" s="58"/>
      <c r="M117" s="58"/>
      <c r="N117" s="58"/>
      <c r="O117" s="58"/>
      <c r="P117" s="58"/>
      <c r="Q117" s="58"/>
      <c r="R117" s="58"/>
      <c r="S117" s="58"/>
      <c r="T117" s="58"/>
    </row>
    <row r="118" spans="1:20" ht="12.75">
      <c r="A118" s="58"/>
      <c r="B118" s="58"/>
      <c r="C118" s="58"/>
      <c r="D118" s="58"/>
      <c r="E118" s="58"/>
      <c r="F118" s="58"/>
      <c r="G118" s="58"/>
      <c r="H118" s="58"/>
      <c r="I118" s="58"/>
      <c r="J118" s="58"/>
      <c r="K118" s="58"/>
      <c r="L118" s="58"/>
      <c r="M118" s="58"/>
      <c r="N118" s="58"/>
      <c r="O118" s="58"/>
      <c r="P118" s="58"/>
      <c r="Q118" s="58"/>
      <c r="R118" s="58"/>
      <c r="S118" s="58"/>
      <c r="T118" s="58"/>
    </row>
    <row r="119" spans="1:20" ht="12.75">
      <c r="A119" s="58"/>
      <c r="B119" s="58"/>
      <c r="C119" s="58"/>
      <c r="D119" s="58"/>
      <c r="E119" s="58"/>
      <c r="F119" s="58"/>
      <c r="G119" s="58"/>
      <c r="H119" s="58"/>
      <c r="I119" s="58"/>
      <c r="J119" s="58"/>
      <c r="K119" s="58"/>
      <c r="L119" s="58"/>
      <c r="M119" s="58"/>
      <c r="N119" s="58"/>
      <c r="O119" s="58"/>
      <c r="P119" s="58"/>
      <c r="Q119" s="58"/>
      <c r="R119" s="58"/>
      <c r="S119" s="58"/>
      <c r="T119" s="58"/>
    </row>
    <row r="120" spans="1:20" ht="12.75">
      <c r="A120" s="58"/>
      <c r="B120" s="58"/>
      <c r="C120" s="58"/>
      <c r="D120" s="58"/>
      <c r="E120" s="58"/>
      <c r="F120" s="58"/>
      <c r="G120" s="58"/>
      <c r="H120" s="58"/>
      <c r="I120" s="58"/>
      <c r="J120" s="58"/>
      <c r="K120" s="58"/>
      <c r="L120" s="58"/>
      <c r="M120" s="58"/>
      <c r="N120" s="58"/>
      <c r="O120" s="58"/>
      <c r="P120" s="58"/>
      <c r="Q120" s="58"/>
      <c r="R120" s="58"/>
      <c r="S120" s="58"/>
      <c r="T120" s="58"/>
    </row>
    <row r="121" spans="1:20" ht="12.75">
      <c r="A121" s="58"/>
      <c r="B121" s="58"/>
      <c r="C121" s="58"/>
      <c r="D121" s="58"/>
      <c r="E121" s="58"/>
      <c r="F121" s="58"/>
      <c r="G121" s="58"/>
      <c r="H121" s="58"/>
      <c r="I121" s="58"/>
      <c r="J121" s="58"/>
      <c r="K121" s="58"/>
      <c r="L121" s="58"/>
      <c r="M121" s="58"/>
      <c r="N121" s="58"/>
      <c r="O121" s="58"/>
      <c r="P121" s="58"/>
      <c r="Q121" s="58"/>
      <c r="R121" s="58"/>
      <c r="S121" s="58"/>
      <c r="T121" s="58"/>
    </row>
    <row r="122" spans="1:20" ht="12.75">
      <c r="A122" s="58"/>
      <c r="B122" s="58"/>
      <c r="C122" s="58"/>
      <c r="D122" s="58"/>
      <c r="E122" s="58"/>
      <c r="F122" s="58"/>
      <c r="G122" s="58"/>
      <c r="H122" s="58"/>
      <c r="I122" s="58"/>
      <c r="J122" s="58"/>
      <c r="K122" s="58"/>
      <c r="L122" s="58"/>
      <c r="M122" s="58"/>
      <c r="N122" s="58"/>
      <c r="O122" s="58"/>
      <c r="P122" s="58"/>
      <c r="Q122" s="58"/>
      <c r="R122" s="58"/>
      <c r="S122" s="58"/>
      <c r="T122" s="58"/>
    </row>
    <row r="123" spans="1:20" ht="12.75">
      <c r="A123" s="58"/>
      <c r="B123" s="58"/>
      <c r="C123" s="58"/>
      <c r="D123" s="58"/>
      <c r="E123" s="58"/>
      <c r="F123" s="58"/>
      <c r="G123" s="58"/>
      <c r="H123" s="58"/>
      <c r="I123" s="58"/>
      <c r="J123" s="58"/>
      <c r="K123" s="58"/>
      <c r="L123" s="58"/>
      <c r="M123" s="58"/>
      <c r="N123" s="58"/>
      <c r="O123" s="58"/>
      <c r="P123" s="58"/>
      <c r="Q123" s="58"/>
      <c r="R123" s="58"/>
      <c r="S123" s="58"/>
      <c r="T123" s="58"/>
    </row>
    <row r="124" spans="1:20" ht="12.75">
      <c r="A124" s="58"/>
      <c r="B124" s="58"/>
      <c r="C124" s="58"/>
      <c r="D124" s="58"/>
      <c r="E124" s="58"/>
      <c r="F124" s="58"/>
      <c r="G124" s="58"/>
      <c r="H124" s="58"/>
      <c r="I124" s="58"/>
      <c r="J124" s="58"/>
      <c r="K124" s="58"/>
      <c r="L124" s="58"/>
      <c r="M124" s="58"/>
      <c r="N124" s="58"/>
      <c r="O124" s="58"/>
      <c r="P124" s="58"/>
      <c r="Q124" s="58"/>
      <c r="R124" s="58"/>
      <c r="S124" s="58"/>
      <c r="T124" s="58"/>
    </row>
    <row r="125" spans="1:20" ht="12.75">
      <c r="A125" s="58"/>
      <c r="B125" s="58"/>
      <c r="C125" s="58"/>
      <c r="D125" s="58"/>
      <c r="E125" s="58"/>
      <c r="F125" s="58"/>
      <c r="G125" s="58"/>
      <c r="H125" s="58"/>
      <c r="I125" s="58"/>
      <c r="J125" s="58"/>
      <c r="K125" s="58"/>
      <c r="L125" s="58"/>
      <c r="M125" s="58"/>
      <c r="N125" s="58"/>
      <c r="O125" s="58"/>
      <c r="P125" s="58"/>
      <c r="Q125" s="58"/>
      <c r="R125" s="58"/>
      <c r="S125" s="58"/>
      <c r="T125" s="58"/>
    </row>
    <row r="126" spans="1:20" ht="12.75">
      <c r="A126" s="58"/>
      <c r="B126" s="58"/>
      <c r="C126" s="58"/>
      <c r="D126" s="58"/>
      <c r="E126" s="58"/>
      <c r="F126" s="58"/>
      <c r="G126" s="58"/>
      <c r="H126" s="58"/>
      <c r="I126" s="58"/>
      <c r="J126" s="58"/>
      <c r="K126" s="58"/>
      <c r="L126" s="58"/>
      <c r="M126" s="58"/>
      <c r="N126" s="58"/>
      <c r="O126" s="58"/>
      <c r="P126" s="58"/>
      <c r="Q126" s="58"/>
      <c r="R126" s="58"/>
      <c r="S126" s="58"/>
      <c r="T126" s="58"/>
    </row>
    <row r="127" spans="1:20" ht="12.75">
      <c r="A127" s="58"/>
      <c r="B127" s="58"/>
      <c r="C127" s="58"/>
      <c r="D127" s="58"/>
      <c r="E127" s="58"/>
      <c r="F127" s="58"/>
      <c r="G127" s="58"/>
      <c r="H127" s="58"/>
      <c r="I127" s="58"/>
      <c r="J127" s="58"/>
      <c r="K127" s="58"/>
      <c r="L127" s="58"/>
      <c r="M127" s="58"/>
      <c r="N127" s="58"/>
      <c r="O127" s="58"/>
      <c r="P127" s="58"/>
      <c r="Q127" s="58"/>
      <c r="R127" s="58"/>
      <c r="S127" s="58"/>
      <c r="T127" s="58"/>
    </row>
    <row r="128" spans="1:20" ht="12.75">
      <c r="A128" s="58"/>
      <c r="B128" s="58"/>
      <c r="C128" s="58"/>
      <c r="D128" s="58"/>
      <c r="E128" s="58"/>
      <c r="F128" s="58"/>
      <c r="G128" s="58"/>
      <c r="H128" s="58"/>
      <c r="I128" s="58"/>
      <c r="J128" s="58"/>
      <c r="K128" s="58"/>
      <c r="L128" s="58"/>
      <c r="M128" s="58"/>
      <c r="N128" s="58"/>
      <c r="O128" s="58"/>
      <c r="P128" s="58"/>
      <c r="Q128" s="58"/>
      <c r="R128" s="58"/>
      <c r="S128" s="58"/>
      <c r="T128" s="58"/>
    </row>
    <row r="129" spans="1:20" ht="12.75">
      <c r="A129" s="58"/>
      <c r="B129" s="58"/>
      <c r="C129" s="58"/>
      <c r="D129" s="58"/>
      <c r="E129" s="58"/>
      <c r="F129" s="58"/>
      <c r="G129" s="58"/>
      <c r="H129" s="58"/>
      <c r="I129" s="58"/>
      <c r="J129" s="58"/>
      <c r="K129" s="58"/>
      <c r="L129" s="58"/>
      <c r="M129" s="58"/>
      <c r="N129" s="58"/>
      <c r="O129" s="58"/>
      <c r="P129" s="58"/>
      <c r="Q129" s="58"/>
      <c r="R129" s="58"/>
      <c r="S129" s="58"/>
      <c r="T129" s="58"/>
    </row>
    <row r="130" spans="1:20" ht="12.75">
      <c r="A130" s="58"/>
      <c r="B130" s="58"/>
      <c r="C130" s="58"/>
      <c r="D130" s="58"/>
      <c r="E130" s="58"/>
      <c r="F130" s="58"/>
      <c r="G130" s="58"/>
      <c r="H130" s="58"/>
      <c r="I130" s="58"/>
      <c r="J130" s="58"/>
      <c r="K130" s="58"/>
      <c r="L130" s="58"/>
      <c r="M130" s="58"/>
      <c r="N130" s="58"/>
      <c r="O130" s="58"/>
      <c r="P130" s="58"/>
      <c r="Q130" s="58"/>
      <c r="R130" s="58"/>
      <c r="S130" s="58"/>
      <c r="T130" s="58"/>
    </row>
    <row r="131" spans="1:20" ht="12.75">
      <c r="A131" s="58"/>
      <c r="B131" s="58"/>
      <c r="C131" s="58"/>
      <c r="D131" s="58"/>
      <c r="E131" s="58"/>
      <c r="F131" s="58"/>
      <c r="G131" s="58"/>
      <c r="H131" s="58"/>
      <c r="I131" s="58"/>
      <c r="J131" s="58"/>
      <c r="K131" s="58"/>
      <c r="L131" s="58"/>
      <c r="M131" s="58"/>
      <c r="N131" s="58"/>
      <c r="O131" s="58"/>
      <c r="P131" s="58"/>
      <c r="Q131" s="58"/>
      <c r="R131" s="58"/>
      <c r="S131" s="58"/>
      <c r="T131" s="58"/>
    </row>
    <row r="132" spans="1:20" ht="12.75">
      <c r="A132" s="58"/>
      <c r="B132" s="58"/>
      <c r="C132" s="58"/>
      <c r="D132" s="58"/>
      <c r="E132" s="58"/>
      <c r="F132" s="58"/>
      <c r="G132" s="58"/>
      <c r="H132" s="58"/>
      <c r="I132" s="58"/>
      <c r="J132" s="58"/>
      <c r="K132" s="58"/>
      <c r="L132" s="58"/>
      <c r="M132" s="58"/>
      <c r="N132" s="58"/>
      <c r="O132" s="58"/>
      <c r="P132" s="58"/>
      <c r="Q132" s="58"/>
      <c r="R132" s="58"/>
      <c r="S132" s="58"/>
      <c r="T132" s="58"/>
    </row>
    <row r="133" spans="1:20" ht="12.75">
      <c r="A133" s="58"/>
      <c r="B133" s="58"/>
      <c r="C133" s="58"/>
      <c r="D133" s="58"/>
      <c r="E133" s="58"/>
      <c r="F133" s="58"/>
      <c r="G133" s="58"/>
      <c r="H133" s="58"/>
      <c r="I133" s="58"/>
      <c r="J133" s="58"/>
      <c r="K133" s="58"/>
      <c r="L133" s="58"/>
      <c r="M133" s="58"/>
      <c r="N133" s="58"/>
      <c r="O133" s="58"/>
      <c r="P133" s="58"/>
      <c r="Q133" s="58"/>
      <c r="R133" s="58"/>
      <c r="S133" s="58"/>
      <c r="T133" s="58"/>
    </row>
    <row r="134" spans="1:20" ht="12.75">
      <c r="A134" s="58"/>
      <c r="B134" s="58"/>
      <c r="C134" s="58"/>
      <c r="D134" s="58"/>
      <c r="E134" s="58"/>
      <c r="F134" s="58"/>
      <c r="G134" s="58"/>
      <c r="H134" s="58"/>
      <c r="I134" s="58"/>
      <c r="J134" s="58"/>
      <c r="K134" s="58"/>
      <c r="L134" s="58"/>
      <c r="M134" s="58"/>
      <c r="N134" s="58"/>
      <c r="O134" s="58"/>
      <c r="P134" s="58"/>
      <c r="Q134" s="58"/>
      <c r="R134" s="58"/>
      <c r="S134" s="58"/>
      <c r="T134" s="58"/>
    </row>
    <row r="135" spans="1:20" ht="12.75">
      <c r="A135" s="58"/>
      <c r="B135" s="58"/>
      <c r="C135" s="58"/>
      <c r="D135" s="58"/>
      <c r="E135" s="58"/>
      <c r="F135" s="58"/>
      <c r="G135" s="58"/>
      <c r="H135" s="58"/>
      <c r="I135" s="58"/>
      <c r="J135" s="58"/>
      <c r="K135" s="58"/>
      <c r="L135" s="58"/>
      <c r="M135" s="58"/>
      <c r="N135" s="58"/>
      <c r="O135" s="58"/>
      <c r="P135" s="58"/>
      <c r="Q135" s="58"/>
      <c r="R135" s="58"/>
      <c r="S135" s="58"/>
      <c r="T135" s="58"/>
    </row>
    <row r="136" spans="1:20" ht="12.75">
      <c r="A136" s="58"/>
      <c r="B136" s="58"/>
      <c r="C136" s="58"/>
      <c r="D136" s="58"/>
      <c r="E136" s="58"/>
      <c r="F136" s="58"/>
      <c r="G136" s="58"/>
      <c r="H136" s="58"/>
      <c r="I136" s="58"/>
      <c r="J136" s="58"/>
      <c r="K136" s="58"/>
      <c r="L136" s="58"/>
      <c r="M136" s="58"/>
      <c r="N136" s="58"/>
      <c r="O136" s="58"/>
      <c r="P136" s="58"/>
      <c r="Q136" s="58"/>
      <c r="R136" s="58"/>
      <c r="S136" s="58"/>
      <c r="T136" s="58"/>
    </row>
    <row r="137" spans="1:20" ht="12.75">
      <c r="A137" s="58"/>
      <c r="B137" s="58"/>
      <c r="C137" s="58"/>
      <c r="D137" s="58"/>
      <c r="E137" s="58"/>
      <c r="F137" s="58"/>
      <c r="G137" s="58"/>
      <c r="H137" s="58"/>
      <c r="I137" s="58"/>
      <c r="J137" s="58"/>
      <c r="K137" s="58"/>
      <c r="L137" s="58"/>
      <c r="M137" s="58"/>
      <c r="N137" s="58"/>
      <c r="O137" s="58"/>
      <c r="P137" s="58"/>
      <c r="Q137" s="58"/>
      <c r="R137" s="58"/>
      <c r="S137" s="58"/>
      <c r="T137" s="58"/>
    </row>
    <row r="138" spans="1:20" ht="12.75">
      <c r="A138" s="58"/>
      <c r="B138" s="58"/>
      <c r="C138" s="58"/>
      <c r="D138" s="58"/>
      <c r="E138" s="58"/>
      <c r="F138" s="58"/>
      <c r="G138" s="58"/>
      <c r="H138" s="58"/>
      <c r="I138" s="58"/>
      <c r="J138" s="58"/>
      <c r="K138" s="58"/>
      <c r="L138" s="58"/>
      <c r="M138" s="58"/>
      <c r="N138" s="58"/>
      <c r="O138" s="58"/>
      <c r="P138" s="58"/>
      <c r="Q138" s="58"/>
      <c r="R138" s="58"/>
      <c r="S138" s="58"/>
      <c r="T138" s="58"/>
    </row>
    <row r="139" spans="1:20" ht="12.75">
      <c r="A139" s="58"/>
      <c r="B139" s="58"/>
      <c r="C139" s="58"/>
      <c r="D139" s="58"/>
      <c r="E139" s="58"/>
      <c r="F139" s="58"/>
      <c r="G139" s="58"/>
      <c r="H139" s="58"/>
      <c r="I139" s="58"/>
      <c r="J139" s="58"/>
      <c r="K139" s="58"/>
      <c r="L139" s="58"/>
      <c r="M139" s="58"/>
      <c r="N139" s="58"/>
      <c r="O139" s="58"/>
      <c r="P139" s="58"/>
      <c r="Q139" s="58"/>
      <c r="R139" s="58"/>
      <c r="S139" s="58"/>
      <c r="T139" s="58"/>
    </row>
    <row r="140" spans="1:20" ht="12.75">
      <c r="A140" s="58"/>
      <c r="B140" s="58"/>
      <c r="C140" s="58"/>
      <c r="D140" s="58"/>
      <c r="E140" s="58"/>
      <c r="F140" s="58"/>
      <c r="G140" s="58"/>
      <c r="H140" s="58"/>
      <c r="I140" s="58"/>
      <c r="J140" s="58"/>
      <c r="K140" s="58"/>
      <c r="L140" s="58"/>
      <c r="M140" s="58"/>
      <c r="N140" s="58"/>
      <c r="O140" s="58"/>
      <c r="P140" s="58"/>
      <c r="Q140" s="58"/>
      <c r="R140" s="58"/>
      <c r="S140" s="58"/>
      <c r="T140" s="58"/>
    </row>
    <row r="141" spans="1:20" ht="12.75">
      <c r="A141" s="58"/>
      <c r="B141" s="58"/>
      <c r="C141" s="58"/>
      <c r="D141" s="58"/>
      <c r="E141" s="58"/>
      <c r="F141" s="58"/>
      <c r="G141" s="58"/>
      <c r="H141" s="58"/>
      <c r="I141" s="58"/>
      <c r="J141" s="58"/>
      <c r="K141" s="58"/>
      <c r="L141" s="58"/>
      <c r="M141" s="58"/>
      <c r="N141" s="58"/>
      <c r="O141" s="58"/>
      <c r="P141" s="58"/>
      <c r="Q141" s="58"/>
      <c r="R141" s="58"/>
      <c r="S141" s="58"/>
      <c r="T141" s="58"/>
    </row>
    <row r="142" spans="1:20" ht="12.75">
      <c r="A142" s="58"/>
      <c r="B142" s="58"/>
      <c r="C142" s="58"/>
      <c r="D142" s="58"/>
      <c r="E142" s="58"/>
      <c r="F142" s="58"/>
      <c r="G142" s="58"/>
      <c r="H142" s="58"/>
      <c r="I142" s="58"/>
      <c r="J142" s="58"/>
      <c r="K142" s="58"/>
      <c r="L142" s="58"/>
      <c r="M142" s="58"/>
      <c r="N142" s="58"/>
      <c r="O142" s="58"/>
      <c r="P142" s="58"/>
      <c r="Q142" s="58"/>
      <c r="R142" s="58"/>
      <c r="S142" s="58"/>
      <c r="T142" s="58"/>
    </row>
    <row r="143" spans="1:20" ht="12.75">
      <c r="A143" s="58"/>
      <c r="B143" s="58"/>
      <c r="C143" s="58"/>
      <c r="D143" s="58"/>
      <c r="E143" s="58"/>
      <c r="F143" s="58"/>
      <c r="G143" s="58"/>
      <c r="H143" s="58"/>
      <c r="I143" s="58"/>
      <c r="J143" s="58"/>
      <c r="K143" s="58"/>
      <c r="L143" s="58"/>
      <c r="M143" s="58"/>
      <c r="N143" s="58"/>
      <c r="O143" s="58"/>
      <c r="P143" s="58"/>
      <c r="Q143" s="58"/>
      <c r="R143" s="58"/>
      <c r="S143" s="58"/>
      <c r="T143" s="58"/>
    </row>
    <row r="144" spans="1:20" ht="12.75">
      <c r="A144" s="58"/>
      <c r="B144" s="58"/>
      <c r="C144" s="58"/>
      <c r="D144" s="58"/>
      <c r="E144" s="58"/>
      <c r="F144" s="58"/>
      <c r="G144" s="58"/>
      <c r="H144" s="58"/>
      <c r="I144" s="58"/>
      <c r="J144" s="58"/>
      <c r="K144" s="58"/>
      <c r="L144" s="58"/>
      <c r="M144" s="58"/>
      <c r="N144" s="58"/>
      <c r="O144" s="58"/>
      <c r="P144" s="58"/>
      <c r="Q144" s="58"/>
      <c r="R144" s="58"/>
      <c r="S144" s="58"/>
      <c r="T144" s="58"/>
    </row>
    <row r="145" spans="1:20" ht="12.75">
      <c r="A145" s="58"/>
      <c r="B145" s="58"/>
      <c r="C145" s="58"/>
      <c r="D145" s="58"/>
      <c r="E145" s="58"/>
      <c r="F145" s="58"/>
      <c r="G145" s="58"/>
      <c r="H145" s="58"/>
      <c r="I145" s="58"/>
      <c r="J145" s="58"/>
      <c r="K145" s="58"/>
      <c r="L145" s="58"/>
      <c r="M145" s="58"/>
      <c r="N145" s="58"/>
      <c r="O145" s="58"/>
      <c r="P145" s="58"/>
      <c r="Q145" s="58"/>
      <c r="R145" s="58"/>
      <c r="S145" s="58"/>
      <c r="T145" s="58"/>
    </row>
    <row r="146" spans="1:20" ht="12.75">
      <c r="A146" s="58"/>
      <c r="B146" s="58"/>
      <c r="C146" s="58"/>
      <c r="D146" s="58"/>
      <c r="E146" s="58"/>
      <c r="F146" s="58"/>
      <c r="G146" s="58"/>
      <c r="H146" s="58"/>
      <c r="I146" s="58"/>
      <c r="J146" s="58"/>
      <c r="K146" s="58"/>
      <c r="L146" s="58"/>
      <c r="M146" s="58"/>
      <c r="N146" s="58"/>
      <c r="O146" s="58"/>
      <c r="P146" s="58"/>
      <c r="Q146" s="58"/>
      <c r="R146" s="58"/>
      <c r="S146" s="58"/>
      <c r="T146" s="58"/>
    </row>
    <row r="147" spans="1:20" ht="12.75">
      <c r="A147" s="58"/>
      <c r="B147" s="58"/>
      <c r="C147" s="58"/>
      <c r="D147" s="58"/>
      <c r="E147" s="58"/>
      <c r="F147" s="58"/>
      <c r="G147" s="58"/>
      <c r="H147" s="58"/>
      <c r="I147" s="58"/>
      <c r="J147" s="58"/>
      <c r="K147" s="58"/>
      <c r="L147" s="58"/>
      <c r="M147" s="58"/>
      <c r="N147" s="58"/>
      <c r="O147" s="58"/>
      <c r="P147" s="58"/>
      <c r="Q147" s="58"/>
      <c r="R147" s="58"/>
      <c r="S147" s="58"/>
      <c r="T147" s="58"/>
    </row>
    <row r="148" spans="1:20" ht="12.75">
      <c r="A148" s="58"/>
      <c r="B148" s="58"/>
      <c r="C148" s="58"/>
      <c r="D148" s="58"/>
      <c r="E148" s="58"/>
      <c r="F148" s="58"/>
      <c r="G148" s="58"/>
      <c r="H148" s="58"/>
      <c r="I148" s="58"/>
      <c r="J148" s="58"/>
      <c r="K148" s="58"/>
      <c r="L148" s="58"/>
      <c r="M148" s="58"/>
      <c r="N148" s="58"/>
      <c r="O148" s="58"/>
      <c r="P148" s="58"/>
      <c r="Q148" s="58"/>
      <c r="R148" s="58"/>
      <c r="S148" s="58"/>
      <c r="T148" s="58"/>
    </row>
    <row r="149" spans="1:20" ht="12.75">
      <c r="A149" s="58"/>
      <c r="B149" s="58"/>
      <c r="C149" s="58"/>
      <c r="D149" s="58"/>
      <c r="E149" s="58"/>
      <c r="F149" s="58"/>
      <c r="G149" s="58"/>
      <c r="H149" s="58"/>
      <c r="I149" s="58"/>
      <c r="J149" s="58"/>
      <c r="K149" s="58"/>
      <c r="L149" s="58"/>
      <c r="M149" s="58"/>
      <c r="N149" s="58"/>
      <c r="O149" s="58"/>
      <c r="P149" s="58"/>
      <c r="Q149" s="58"/>
      <c r="R149" s="58"/>
      <c r="S149" s="58"/>
      <c r="T149" s="58"/>
    </row>
    <row r="150" spans="1:20" ht="12.75">
      <c r="A150" s="58"/>
      <c r="B150" s="58"/>
      <c r="C150" s="58"/>
      <c r="D150" s="58"/>
      <c r="E150" s="58"/>
      <c r="F150" s="58"/>
      <c r="G150" s="58"/>
      <c r="H150" s="58"/>
      <c r="I150" s="58"/>
      <c r="J150" s="58"/>
      <c r="K150" s="58"/>
      <c r="L150" s="58"/>
      <c r="M150" s="58"/>
      <c r="N150" s="58"/>
      <c r="O150" s="58"/>
      <c r="P150" s="58"/>
      <c r="Q150" s="58"/>
      <c r="R150" s="58"/>
      <c r="S150" s="58"/>
      <c r="T150" s="58"/>
    </row>
    <row r="151" spans="1:20" ht="12.75">
      <c r="A151" s="58"/>
      <c r="B151" s="58"/>
      <c r="C151" s="58"/>
      <c r="D151" s="58"/>
      <c r="E151" s="58"/>
      <c r="F151" s="58"/>
      <c r="G151" s="58"/>
      <c r="H151" s="58"/>
      <c r="I151" s="58"/>
      <c r="J151" s="58"/>
      <c r="K151" s="58"/>
      <c r="L151" s="58"/>
      <c r="M151" s="58"/>
      <c r="N151" s="58"/>
      <c r="O151" s="58"/>
      <c r="P151" s="58"/>
      <c r="Q151" s="58"/>
      <c r="R151" s="58"/>
      <c r="S151" s="58"/>
      <c r="T151" s="58"/>
    </row>
    <row r="152" spans="1:20" ht="12.75">
      <c r="A152" s="58"/>
      <c r="B152" s="58"/>
      <c r="C152" s="58"/>
      <c r="D152" s="58"/>
      <c r="E152" s="58"/>
      <c r="F152" s="58"/>
      <c r="G152" s="58"/>
      <c r="H152" s="58"/>
      <c r="I152" s="58"/>
      <c r="J152" s="58"/>
      <c r="K152" s="58"/>
      <c r="L152" s="58"/>
      <c r="M152" s="58"/>
      <c r="N152" s="58"/>
      <c r="O152" s="58"/>
      <c r="P152" s="58"/>
      <c r="Q152" s="58"/>
      <c r="R152" s="58"/>
      <c r="S152" s="58"/>
      <c r="T152" s="58"/>
    </row>
    <row r="153" spans="1:20" ht="12.75">
      <c r="A153" s="58"/>
      <c r="B153" s="58"/>
      <c r="C153" s="58"/>
      <c r="D153" s="58"/>
      <c r="E153" s="58"/>
      <c r="F153" s="58"/>
      <c r="G153" s="58"/>
      <c r="H153" s="58"/>
      <c r="I153" s="58"/>
      <c r="J153" s="58"/>
      <c r="K153" s="58"/>
      <c r="L153" s="58"/>
      <c r="M153" s="58"/>
      <c r="N153" s="58"/>
      <c r="O153" s="58"/>
      <c r="P153" s="58"/>
      <c r="Q153" s="58"/>
      <c r="R153" s="58"/>
      <c r="S153" s="58"/>
      <c r="T153" s="58"/>
    </row>
    <row r="154" spans="1:20" ht="12.75">
      <c r="A154" s="58"/>
      <c r="B154" s="58"/>
      <c r="C154" s="58"/>
      <c r="D154" s="58"/>
      <c r="E154" s="58"/>
      <c r="F154" s="58"/>
      <c r="G154" s="58"/>
      <c r="H154" s="58"/>
      <c r="I154" s="58"/>
      <c r="J154" s="58"/>
      <c r="K154" s="58"/>
      <c r="L154" s="58"/>
      <c r="M154" s="58"/>
      <c r="N154" s="58"/>
      <c r="O154" s="58"/>
      <c r="P154" s="58"/>
      <c r="Q154" s="58"/>
      <c r="R154" s="58"/>
      <c r="S154" s="58"/>
      <c r="T154" s="58"/>
    </row>
    <row r="155" spans="1:20" ht="12.75">
      <c r="A155" s="58"/>
      <c r="B155" s="58"/>
      <c r="C155" s="58"/>
      <c r="D155" s="58"/>
      <c r="E155" s="58"/>
      <c r="F155" s="58"/>
      <c r="G155" s="58"/>
      <c r="H155" s="58"/>
      <c r="I155" s="58"/>
      <c r="J155" s="58"/>
      <c r="K155" s="58"/>
      <c r="L155" s="58"/>
      <c r="M155" s="58"/>
      <c r="N155" s="58"/>
      <c r="O155" s="58"/>
      <c r="P155" s="58"/>
      <c r="Q155" s="58"/>
      <c r="R155" s="58"/>
      <c r="S155" s="58"/>
      <c r="T155" s="58"/>
    </row>
    <row r="156" spans="1:20" ht="12.75">
      <c r="A156" s="58"/>
      <c r="B156" s="58"/>
      <c r="C156" s="58"/>
      <c r="D156" s="58"/>
      <c r="E156" s="58"/>
      <c r="F156" s="58"/>
      <c r="G156" s="58"/>
      <c r="H156" s="58"/>
      <c r="I156" s="58"/>
      <c r="J156" s="58"/>
      <c r="K156" s="58"/>
      <c r="L156" s="58"/>
      <c r="M156" s="58"/>
      <c r="N156" s="58"/>
      <c r="O156" s="58"/>
      <c r="P156" s="58"/>
      <c r="Q156" s="58"/>
      <c r="R156" s="58"/>
      <c r="S156" s="58"/>
      <c r="T156" s="58"/>
    </row>
    <row r="157" spans="1:20" ht="12.75">
      <c r="A157" s="58"/>
      <c r="B157" s="58"/>
      <c r="C157" s="58"/>
      <c r="D157" s="58"/>
      <c r="E157" s="58"/>
      <c r="F157" s="58"/>
      <c r="G157" s="58"/>
      <c r="H157" s="58"/>
      <c r="I157" s="58"/>
      <c r="J157" s="58"/>
      <c r="K157" s="58"/>
      <c r="L157" s="58"/>
      <c r="M157" s="58"/>
      <c r="N157" s="58"/>
      <c r="O157" s="58"/>
      <c r="P157" s="58"/>
      <c r="Q157" s="58"/>
      <c r="R157" s="58"/>
      <c r="S157" s="58"/>
      <c r="T157" s="58"/>
    </row>
    <row r="158" spans="1:20" ht="12.75">
      <c r="A158" s="58"/>
      <c r="B158" s="58"/>
      <c r="C158" s="58"/>
      <c r="D158" s="58"/>
      <c r="E158" s="58"/>
      <c r="F158" s="58"/>
      <c r="G158" s="58"/>
      <c r="H158" s="58"/>
      <c r="I158" s="58"/>
      <c r="J158" s="58"/>
      <c r="K158" s="58"/>
      <c r="L158" s="58"/>
      <c r="M158" s="58"/>
      <c r="N158" s="58"/>
      <c r="O158" s="58"/>
      <c r="P158" s="58"/>
      <c r="Q158" s="58"/>
      <c r="R158" s="58"/>
      <c r="S158" s="58"/>
      <c r="T158" s="58"/>
    </row>
    <row r="159" spans="1:20" ht="12.75">
      <c r="A159" s="58"/>
      <c r="B159" s="58"/>
      <c r="C159" s="58"/>
      <c r="D159" s="58"/>
      <c r="E159" s="58"/>
      <c r="F159" s="58"/>
      <c r="G159" s="58"/>
      <c r="H159" s="58"/>
      <c r="I159" s="58"/>
      <c r="J159" s="58"/>
      <c r="K159" s="58"/>
      <c r="L159" s="58"/>
      <c r="M159" s="58"/>
      <c r="N159" s="58"/>
      <c r="O159" s="58"/>
      <c r="P159" s="58"/>
      <c r="Q159" s="58"/>
      <c r="R159" s="58"/>
      <c r="S159" s="58"/>
      <c r="T159" s="58"/>
    </row>
    <row r="160" spans="1:20" ht="12.75">
      <c r="A160" s="58"/>
      <c r="B160" s="58"/>
      <c r="C160" s="58"/>
      <c r="D160" s="58"/>
      <c r="E160" s="58"/>
      <c r="F160" s="58"/>
      <c r="G160" s="58"/>
      <c r="H160" s="58"/>
      <c r="I160" s="58"/>
      <c r="J160" s="58"/>
      <c r="K160" s="58"/>
      <c r="L160" s="58"/>
      <c r="M160" s="58"/>
      <c r="N160" s="58"/>
      <c r="O160" s="58"/>
      <c r="P160" s="58"/>
      <c r="Q160" s="58"/>
      <c r="R160" s="58"/>
      <c r="S160" s="58"/>
      <c r="T160" s="58"/>
    </row>
    <row r="161" spans="1:20" ht="12.75">
      <c r="A161" s="58"/>
      <c r="B161" s="58"/>
      <c r="C161" s="58"/>
      <c r="D161" s="58"/>
      <c r="E161" s="58"/>
      <c r="F161" s="58"/>
      <c r="G161" s="58"/>
      <c r="H161" s="58"/>
      <c r="I161" s="58"/>
      <c r="J161" s="58"/>
      <c r="K161" s="58"/>
      <c r="L161" s="58"/>
      <c r="M161" s="58"/>
      <c r="N161" s="58"/>
      <c r="O161" s="58"/>
      <c r="P161" s="58"/>
      <c r="Q161" s="58"/>
      <c r="R161" s="58"/>
      <c r="S161" s="58"/>
      <c r="T161" s="58"/>
    </row>
    <row r="162" spans="1:20" ht="12.75">
      <c r="A162" s="58"/>
      <c r="B162" s="58"/>
      <c r="C162" s="58"/>
      <c r="D162" s="58"/>
      <c r="E162" s="58"/>
      <c r="F162" s="58"/>
      <c r="G162" s="58"/>
      <c r="H162" s="58"/>
      <c r="I162" s="58"/>
      <c r="J162" s="58"/>
      <c r="K162" s="58"/>
      <c r="L162" s="58"/>
      <c r="M162" s="58"/>
      <c r="N162" s="58"/>
      <c r="O162" s="58"/>
      <c r="P162" s="58"/>
      <c r="Q162" s="58"/>
      <c r="R162" s="58"/>
      <c r="S162" s="58"/>
      <c r="T162" s="58"/>
    </row>
    <row r="163" spans="1:20" ht="12.75">
      <c r="A163" s="58"/>
      <c r="B163" s="58"/>
      <c r="C163" s="58"/>
      <c r="D163" s="58"/>
      <c r="E163" s="58"/>
      <c r="F163" s="58"/>
      <c r="G163" s="58"/>
      <c r="H163" s="58"/>
      <c r="I163" s="58"/>
      <c r="J163" s="58"/>
      <c r="K163" s="58"/>
      <c r="L163" s="58"/>
      <c r="M163" s="58"/>
      <c r="N163" s="58"/>
      <c r="O163" s="58"/>
      <c r="P163" s="58"/>
      <c r="Q163" s="58"/>
      <c r="R163" s="58"/>
      <c r="S163" s="58"/>
      <c r="T163" s="58"/>
    </row>
    <row r="164" spans="1:20" ht="12.75">
      <c r="A164" s="58"/>
      <c r="B164" s="58"/>
      <c r="C164" s="58"/>
      <c r="D164" s="58"/>
      <c r="E164" s="58"/>
      <c r="F164" s="58"/>
      <c r="G164" s="58"/>
      <c r="H164" s="58"/>
      <c r="I164" s="58"/>
      <c r="J164" s="58"/>
      <c r="K164" s="58"/>
      <c r="L164" s="58"/>
      <c r="M164" s="58"/>
      <c r="N164" s="58"/>
      <c r="O164" s="58"/>
      <c r="P164" s="58"/>
      <c r="Q164" s="58"/>
      <c r="R164" s="58"/>
      <c r="S164" s="58"/>
      <c r="T164" s="58"/>
    </row>
    <row r="165" spans="1:20" ht="12.75">
      <c r="A165" s="58"/>
      <c r="B165" s="58"/>
      <c r="C165" s="58"/>
      <c r="D165" s="58"/>
      <c r="E165" s="58"/>
      <c r="F165" s="58"/>
      <c r="G165" s="58"/>
      <c r="H165" s="58"/>
      <c r="I165" s="58"/>
      <c r="J165" s="58"/>
      <c r="K165" s="58"/>
      <c r="L165" s="58"/>
      <c r="M165" s="58"/>
      <c r="N165" s="58"/>
      <c r="O165" s="58"/>
      <c r="P165" s="58"/>
      <c r="Q165" s="58"/>
      <c r="R165" s="58"/>
      <c r="S165" s="58"/>
      <c r="T165" s="58"/>
    </row>
    <row r="166" spans="1:20" ht="12.75">
      <c r="A166" s="58"/>
      <c r="B166" s="58"/>
      <c r="C166" s="58"/>
      <c r="D166" s="58"/>
      <c r="E166" s="58"/>
      <c r="F166" s="58"/>
      <c r="G166" s="58"/>
      <c r="H166" s="58"/>
      <c r="I166" s="58"/>
      <c r="J166" s="58"/>
      <c r="K166" s="58"/>
      <c r="L166" s="58"/>
      <c r="M166" s="58"/>
      <c r="N166" s="58"/>
      <c r="O166" s="58"/>
      <c r="P166" s="58"/>
      <c r="Q166" s="58"/>
      <c r="R166" s="58"/>
      <c r="S166" s="58"/>
      <c r="T166" s="58"/>
    </row>
    <row r="167" spans="1:20" ht="12.75">
      <c r="A167" s="58"/>
      <c r="B167" s="58"/>
      <c r="C167" s="58"/>
      <c r="D167" s="58"/>
      <c r="E167" s="58"/>
      <c r="F167" s="58"/>
      <c r="G167" s="58"/>
      <c r="H167" s="58"/>
      <c r="I167" s="58"/>
      <c r="J167" s="58"/>
      <c r="K167" s="58"/>
      <c r="L167" s="58"/>
      <c r="M167" s="58"/>
      <c r="N167" s="58"/>
      <c r="O167" s="58"/>
      <c r="P167" s="58"/>
      <c r="Q167" s="58"/>
      <c r="R167" s="58"/>
      <c r="S167" s="58"/>
      <c r="T167" s="58"/>
    </row>
    <row r="168" spans="1:20" ht="12.75">
      <c r="A168" s="58"/>
      <c r="B168" s="58"/>
      <c r="C168" s="58"/>
      <c r="D168" s="58"/>
      <c r="E168" s="58"/>
      <c r="F168" s="58"/>
      <c r="G168" s="58"/>
      <c r="H168" s="58"/>
      <c r="I168" s="58"/>
      <c r="J168" s="58"/>
      <c r="K168" s="58"/>
      <c r="L168" s="58"/>
      <c r="M168" s="58"/>
      <c r="N168" s="58"/>
      <c r="O168" s="58"/>
      <c r="P168" s="58"/>
      <c r="Q168" s="58"/>
      <c r="R168" s="58"/>
      <c r="S168" s="58"/>
      <c r="T168" s="58"/>
    </row>
    <row r="169" spans="1:20" ht="12.75">
      <c r="A169" s="58"/>
      <c r="B169" s="58"/>
      <c r="C169" s="58"/>
      <c r="D169" s="58"/>
      <c r="E169" s="58"/>
      <c r="F169" s="58"/>
      <c r="G169" s="58"/>
      <c r="H169" s="58"/>
      <c r="I169" s="58"/>
      <c r="J169" s="58"/>
      <c r="K169" s="58"/>
      <c r="L169" s="58"/>
      <c r="M169" s="58"/>
      <c r="N169" s="58"/>
      <c r="O169" s="58"/>
      <c r="P169" s="58"/>
      <c r="Q169" s="58"/>
      <c r="R169" s="58"/>
      <c r="S169" s="58"/>
      <c r="T169" s="58"/>
    </row>
    <row r="170" spans="1:20" ht="12.75">
      <c r="A170" s="58"/>
      <c r="B170" s="58"/>
      <c r="C170" s="58"/>
      <c r="D170" s="58"/>
      <c r="E170" s="58"/>
      <c r="F170" s="58"/>
      <c r="G170" s="58"/>
      <c r="H170" s="58"/>
      <c r="I170" s="58"/>
      <c r="J170" s="58"/>
      <c r="K170" s="58"/>
      <c r="L170" s="58"/>
      <c r="M170" s="58"/>
      <c r="N170" s="58"/>
      <c r="O170" s="58"/>
      <c r="P170" s="58"/>
      <c r="Q170" s="58"/>
      <c r="R170" s="58"/>
      <c r="S170" s="58"/>
      <c r="T170" s="58"/>
    </row>
    <row r="171" spans="1:20" ht="12.75">
      <c r="A171" s="58"/>
      <c r="B171" s="58"/>
      <c r="C171" s="58"/>
      <c r="D171" s="58"/>
      <c r="E171" s="58"/>
      <c r="F171" s="58"/>
      <c r="G171" s="58"/>
      <c r="H171" s="58"/>
      <c r="I171" s="58"/>
      <c r="J171" s="58"/>
      <c r="K171" s="58"/>
      <c r="L171" s="58"/>
      <c r="M171" s="58"/>
      <c r="N171" s="58"/>
      <c r="O171" s="58"/>
      <c r="P171" s="58"/>
      <c r="Q171" s="58"/>
      <c r="R171" s="58"/>
      <c r="S171" s="58"/>
      <c r="T171" s="58"/>
    </row>
    <row r="172" spans="1:20" ht="12.75">
      <c r="A172" s="58"/>
      <c r="B172" s="58"/>
      <c r="C172" s="58"/>
      <c r="D172" s="58"/>
      <c r="E172" s="58"/>
      <c r="F172" s="58"/>
      <c r="G172" s="58"/>
      <c r="H172" s="58"/>
      <c r="I172" s="58"/>
      <c r="J172" s="58"/>
      <c r="K172" s="58"/>
      <c r="L172" s="58"/>
      <c r="M172" s="58"/>
      <c r="N172" s="58"/>
      <c r="O172" s="58"/>
      <c r="P172" s="58"/>
      <c r="Q172" s="58"/>
      <c r="R172" s="58"/>
      <c r="S172" s="58"/>
      <c r="T172" s="58"/>
    </row>
    <row r="173" spans="1:20" ht="12.75">
      <c r="A173" s="58"/>
      <c r="B173" s="58"/>
      <c r="C173" s="58"/>
      <c r="D173" s="58"/>
      <c r="E173" s="58"/>
      <c r="F173" s="58"/>
      <c r="G173" s="58"/>
      <c r="H173" s="58"/>
      <c r="I173" s="58"/>
      <c r="J173" s="58"/>
      <c r="K173" s="58"/>
      <c r="L173" s="58"/>
      <c r="M173" s="58"/>
      <c r="N173" s="58"/>
      <c r="O173" s="58"/>
      <c r="P173" s="58"/>
      <c r="Q173" s="58"/>
      <c r="R173" s="58"/>
      <c r="S173" s="58"/>
      <c r="T173" s="58"/>
    </row>
    <row r="174" spans="1:20" ht="12.75">
      <c r="A174" s="58"/>
      <c r="B174" s="58"/>
      <c r="C174" s="58"/>
      <c r="D174" s="58"/>
      <c r="E174" s="58"/>
      <c r="F174" s="58"/>
      <c r="G174" s="58"/>
      <c r="H174" s="58"/>
      <c r="I174" s="58"/>
      <c r="J174" s="58"/>
      <c r="K174" s="58"/>
      <c r="L174" s="58"/>
      <c r="M174" s="58"/>
      <c r="N174" s="58"/>
      <c r="O174" s="58"/>
      <c r="P174" s="58"/>
      <c r="Q174" s="58"/>
      <c r="R174" s="58"/>
      <c r="S174" s="58"/>
      <c r="T174" s="58"/>
    </row>
    <row r="175" spans="1:20" ht="12.75">
      <c r="A175" s="58"/>
      <c r="B175" s="58"/>
      <c r="C175" s="58"/>
      <c r="D175" s="58"/>
      <c r="E175" s="58"/>
      <c r="F175" s="58"/>
      <c r="G175" s="58"/>
      <c r="H175" s="58"/>
      <c r="I175" s="58"/>
      <c r="J175" s="58"/>
      <c r="K175" s="58"/>
      <c r="L175" s="58"/>
      <c r="M175" s="58"/>
      <c r="N175" s="58"/>
      <c r="O175" s="58"/>
      <c r="P175" s="58"/>
      <c r="Q175" s="58"/>
      <c r="R175" s="58"/>
      <c r="S175" s="58"/>
      <c r="T175" s="58"/>
    </row>
    <row r="176" spans="1:20" ht="12.75">
      <c r="A176" s="58"/>
      <c r="B176" s="58"/>
      <c r="C176" s="58"/>
      <c r="D176" s="58"/>
      <c r="E176" s="58"/>
      <c r="F176" s="58"/>
      <c r="G176" s="58"/>
      <c r="H176" s="58"/>
      <c r="I176" s="58"/>
      <c r="J176" s="58"/>
      <c r="K176" s="58"/>
      <c r="L176" s="58"/>
      <c r="M176" s="58"/>
      <c r="N176" s="58"/>
      <c r="O176" s="58"/>
      <c r="P176" s="58"/>
      <c r="Q176" s="58"/>
      <c r="R176" s="58"/>
      <c r="S176" s="58"/>
      <c r="T176" s="58"/>
    </row>
    <row r="177" spans="1:20" ht="12.75">
      <c r="A177" s="58"/>
      <c r="B177" s="58"/>
      <c r="C177" s="58"/>
      <c r="D177" s="58"/>
      <c r="E177" s="58"/>
      <c r="F177" s="58"/>
      <c r="G177" s="58"/>
      <c r="H177" s="58"/>
      <c r="I177" s="58"/>
      <c r="J177" s="58"/>
      <c r="K177" s="58"/>
      <c r="L177" s="58"/>
      <c r="M177" s="58"/>
      <c r="N177" s="58"/>
      <c r="O177" s="58"/>
      <c r="P177" s="58"/>
      <c r="Q177" s="58"/>
      <c r="R177" s="58"/>
      <c r="S177" s="58"/>
      <c r="T177" s="58"/>
    </row>
    <row r="178" spans="1:20" ht="12.75">
      <c r="A178" s="58"/>
      <c r="B178" s="58"/>
      <c r="C178" s="58"/>
      <c r="D178" s="58"/>
      <c r="E178" s="58"/>
      <c r="F178" s="58"/>
      <c r="G178" s="58"/>
      <c r="H178" s="58"/>
      <c r="I178" s="58"/>
      <c r="J178" s="58"/>
      <c r="K178" s="58"/>
      <c r="L178" s="58"/>
      <c r="M178" s="58"/>
      <c r="N178" s="58"/>
      <c r="O178" s="58"/>
      <c r="P178" s="58"/>
      <c r="Q178" s="58"/>
      <c r="R178" s="58"/>
      <c r="S178" s="58"/>
      <c r="T178" s="58"/>
    </row>
    <row r="179" spans="1:20" ht="12.75">
      <c r="A179" s="58"/>
      <c r="B179" s="58"/>
      <c r="C179" s="58"/>
      <c r="D179" s="58"/>
      <c r="E179" s="58"/>
      <c r="F179" s="58"/>
      <c r="G179" s="58"/>
      <c r="H179" s="58"/>
      <c r="I179" s="58"/>
      <c r="J179" s="58"/>
      <c r="K179" s="58"/>
      <c r="L179" s="58"/>
      <c r="M179" s="58"/>
      <c r="N179" s="58"/>
      <c r="O179" s="58"/>
      <c r="P179" s="58"/>
      <c r="Q179" s="58"/>
      <c r="R179" s="58"/>
      <c r="S179" s="58"/>
      <c r="T179" s="58"/>
    </row>
    <row r="180" spans="1:20" ht="12.75">
      <c r="A180" s="58"/>
      <c r="B180" s="58"/>
      <c r="C180" s="58"/>
      <c r="D180" s="58"/>
      <c r="E180" s="58"/>
      <c r="F180" s="58"/>
      <c r="G180" s="58"/>
      <c r="H180" s="58"/>
      <c r="I180" s="58"/>
      <c r="J180" s="58"/>
      <c r="K180" s="58"/>
      <c r="L180" s="58"/>
      <c r="M180" s="58"/>
      <c r="N180" s="58"/>
      <c r="O180" s="58"/>
      <c r="P180" s="58"/>
      <c r="Q180" s="58"/>
      <c r="R180" s="58"/>
      <c r="S180" s="58"/>
      <c r="T180" s="58"/>
    </row>
    <row r="181" spans="1:20" ht="12.75">
      <c r="A181" s="58"/>
      <c r="B181" s="58"/>
      <c r="C181" s="58"/>
      <c r="D181" s="58"/>
      <c r="E181" s="58"/>
      <c r="F181" s="58"/>
      <c r="G181" s="58"/>
      <c r="H181" s="58"/>
      <c r="I181" s="58"/>
      <c r="J181" s="58"/>
      <c r="K181" s="58"/>
      <c r="L181" s="58"/>
      <c r="M181" s="58"/>
      <c r="N181" s="58"/>
      <c r="O181" s="58"/>
      <c r="P181" s="58"/>
      <c r="Q181" s="58"/>
      <c r="R181" s="58"/>
      <c r="S181" s="58"/>
      <c r="T181" s="58"/>
    </row>
    <row r="182" spans="1:20" ht="12.75">
      <c r="A182" s="58"/>
      <c r="B182" s="58"/>
      <c r="C182" s="58"/>
      <c r="D182" s="58"/>
      <c r="E182" s="58"/>
      <c r="F182" s="58"/>
      <c r="G182" s="58"/>
      <c r="H182" s="58"/>
      <c r="I182" s="58"/>
      <c r="J182" s="58"/>
      <c r="K182" s="58"/>
      <c r="L182" s="58"/>
      <c r="M182" s="58"/>
      <c r="N182" s="58"/>
      <c r="O182" s="58"/>
      <c r="P182" s="58"/>
      <c r="Q182" s="58"/>
      <c r="R182" s="58"/>
      <c r="S182" s="58"/>
      <c r="T182" s="58"/>
    </row>
    <row r="183" spans="1:20" ht="12.75">
      <c r="A183" s="58"/>
      <c r="B183" s="58"/>
      <c r="C183" s="58"/>
      <c r="D183" s="58"/>
      <c r="E183" s="58"/>
      <c r="F183" s="58"/>
      <c r="G183" s="58"/>
      <c r="H183" s="58"/>
      <c r="I183" s="58"/>
      <c r="J183" s="58"/>
      <c r="K183" s="58"/>
      <c r="L183" s="58"/>
      <c r="M183" s="58"/>
      <c r="N183" s="58"/>
      <c r="O183" s="58"/>
      <c r="P183" s="58"/>
      <c r="Q183" s="58"/>
      <c r="R183" s="58"/>
      <c r="S183" s="58"/>
      <c r="T183" s="58"/>
    </row>
    <row r="184" spans="1:20" ht="12.75">
      <c r="A184" s="58"/>
      <c r="B184" s="58"/>
      <c r="C184" s="58"/>
      <c r="D184" s="58"/>
      <c r="E184" s="58"/>
      <c r="F184" s="58"/>
      <c r="G184" s="58"/>
      <c r="H184" s="58"/>
      <c r="I184" s="58"/>
      <c r="J184" s="58"/>
      <c r="K184" s="58"/>
      <c r="L184" s="58"/>
      <c r="M184" s="58"/>
      <c r="N184" s="58"/>
      <c r="O184" s="58"/>
      <c r="P184" s="58"/>
      <c r="Q184" s="58"/>
      <c r="R184" s="58"/>
      <c r="S184" s="58"/>
      <c r="T184" s="58"/>
    </row>
    <row r="185" spans="1:20" ht="12.75">
      <c r="A185" s="58"/>
      <c r="B185" s="58"/>
      <c r="C185" s="58"/>
      <c r="D185" s="58"/>
      <c r="E185" s="58"/>
      <c r="F185" s="58"/>
      <c r="G185" s="58"/>
      <c r="H185" s="58"/>
      <c r="I185" s="58"/>
      <c r="J185" s="58"/>
      <c r="K185" s="58"/>
      <c r="L185" s="58"/>
      <c r="M185" s="58"/>
      <c r="N185" s="58"/>
      <c r="O185" s="58"/>
      <c r="P185" s="58"/>
      <c r="Q185" s="58"/>
      <c r="R185" s="58"/>
      <c r="S185" s="58"/>
      <c r="T185" s="58"/>
    </row>
    <row r="186" spans="1:20" ht="12.75">
      <c r="A186" s="58"/>
      <c r="B186" s="58"/>
      <c r="C186" s="58"/>
      <c r="D186" s="58"/>
      <c r="E186" s="58"/>
      <c r="F186" s="58"/>
      <c r="G186" s="58"/>
      <c r="H186" s="58"/>
      <c r="I186" s="58"/>
      <c r="J186" s="58"/>
      <c r="K186" s="58"/>
      <c r="L186" s="58"/>
      <c r="M186" s="58"/>
      <c r="N186" s="58"/>
      <c r="O186" s="58"/>
      <c r="P186" s="58"/>
      <c r="Q186" s="58"/>
      <c r="R186" s="58"/>
      <c r="S186" s="58"/>
      <c r="T186" s="58"/>
    </row>
    <row r="187" spans="1:20" ht="12.75">
      <c r="A187" s="58"/>
      <c r="B187" s="58"/>
      <c r="C187" s="58"/>
      <c r="D187" s="58"/>
      <c r="E187" s="58"/>
      <c r="F187" s="58"/>
      <c r="G187" s="58"/>
      <c r="H187" s="58"/>
      <c r="I187" s="58"/>
      <c r="J187" s="58"/>
      <c r="K187" s="58"/>
      <c r="L187" s="58"/>
      <c r="M187" s="58"/>
      <c r="N187" s="58"/>
      <c r="O187" s="58"/>
      <c r="P187" s="58"/>
      <c r="Q187" s="58"/>
      <c r="R187" s="58"/>
      <c r="S187" s="58"/>
      <c r="T187" s="58"/>
    </row>
    <row r="188" spans="1:20" ht="12.75">
      <c r="A188" s="58"/>
      <c r="B188" s="58"/>
      <c r="C188" s="58"/>
      <c r="D188" s="58"/>
      <c r="E188" s="58"/>
      <c r="F188" s="58"/>
      <c r="G188" s="58"/>
      <c r="H188" s="58"/>
      <c r="I188" s="58"/>
      <c r="J188" s="58"/>
      <c r="K188" s="58"/>
      <c r="L188" s="58"/>
      <c r="M188" s="58"/>
      <c r="N188" s="58"/>
      <c r="O188" s="58"/>
      <c r="P188" s="58"/>
      <c r="Q188" s="58"/>
      <c r="R188" s="58"/>
      <c r="S188" s="58"/>
      <c r="T188" s="58"/>
    </row>
    <row r="189" spans="1:20" ht="12.75">
      <c r="A189" s="58"/>
      <c r="B189" s="58"/>
      <c r="C189" s="58"/>
      <c r="D189" s="58"/>
      <c r="E189" s="58"/>
      <c r="F189" s="58"/>
      <c r="G189" s="58"/>
      <c r="H189" s="58"/>
      <c r="I189" s="58"/>
      <c r="J189" s="58"/>
      <c r="K189" s="58"/>
      <c r="L189" s="58"/>
      <c r="M189" s="58"/>
      <c r="N189" s="58"/>
      <c r="O189" s="58"/>
      <c r="P189" s="58"/>
      <c r="Q189" s="58"/>
      <c r="R189" s="58"/>
      <c r="S189" s="58"/>
      <c r="T189" s="58"/>
    </row>
    <row r="190" spans="1:20" ht="12.75">
      <c r="A190" s="58"/>
      <c r="B190" s="58"/>
      <c r="C190" s="58"/>
      <c r="D190" s="58"/>
      <c r="E190" s="58"/>
      <c r="F190" s="58"/>
      <c r="G190" s="58"/>
      <c r="H190" s="58"/>
      <c r="I190" s="58"/>
      <c r="J190" s="58"/>
      <c r="K190" s="58"/>
      <c r="L190" s="58"/>
      <c r="M190" s="58"/>
      <c r="N190" s="58"/>
      <c r="O190" s="58"/>
      <c r="P190" s="58"/>
      <c r="Q190" s="58"/>
      <c r="R190" s="58"/>
      <c r="S190" s="58"/>
      <c r="T190" s="58"/>
    </row>
    <row r="191" spans="1:20" ht="12.75">
      <c r="A191" s="58"/>
      <c r="B191" s="58"/>
      <c r="C191" s="58"/>
      <c r="D191" s="58"/>
      <c r="E191" s="58"/>
      <c r="F191" s="58"/>
      <c r="G191" s="58"/>
      <c r="H191" s="58"/>
      <c r="I191" s="58"/>
      <c r="J191" s="58"/>
      <c r="K191" s="58"/>
      <c r="L191" s="58"/>
      <c r="M191" s="58"/>
      <c r="N191" s="58"/>
      <c r="O191" s="58"/>
      <c r="P191" s="58"/>
      <c r="Q191" s="58"/>
      <c r="R191" s="58"/>
      <c r="S191" s="58"/>
      <c r="T191" s="58"/>
    </row>
    <row r="192" spans="1:20" ht="12.75">
      <c r="A192" s="58"/>
      <c r="B192" s="58"/>
      <c r="C192" s="58"/>
      <c r="D192" s="58"/>
      <c r="E192" s="58"/>
      <c r="F192" s="58"/>
      <c r="G192" s="58"/>
      <c r="H192" s="58"/>
      <c r="I192" s="58"/>
      <c r="J192" s="58"/>
      <c r="K192" s="58"/>
      <c r="L192" s="58"/>
      <c r="M192" s="58"/>
      <c r="N192" s="58"/>
      <c r="O192" s="58"/>
      <c r="P192" s="58"/>
      <c r="Q192" s="58"/>
      <c r="R192" s="58"/>
      <c r="S192" s="58"/>
      <c r="T192" s="58"/>
    </row>
    <row r="193" spans="1:20" ht="12.75">
      <c r="A193" s="58"/>
      <c r="B193" s="58"/>
      <c r="C193" s="58"/>
      <c r="D193" s="58"/>
      <c r="E193" s="58"/>
      <c r="F193" s="58"/>
      <c r="G193" s="58"/>
      <c r="H193" s="58"/>
      <c r="I193" s="58"/>
      <c r="J193" s="58"/>
      <c r="K193" s="58"/>
      <c r="L193" s="58"/>
      <c r="M193" s="58"/>
      <c r="N193" s="58"/>
      <c r="O193" s="58"/>
      <c r="P193" s="58"/>
      <c r="Q193" s="58"/>
      <c r="R193" s="58"/>
      <c r="S193" s="58"/>
      <c r="T193" s="58"/>
    </row>
    <row r="194" spans="1:20" ht="12.75">
      <c r="A194" s="58"/>
      <c r="B194" s="58"/>
      <c r="C194" s="58"/>
      <c r="D194" s="58"/>
      <c r="E194" s="58"/>
      <c r="F194" s="58"/>
      <c r="G194" s="58"/>
      <c r="H194" s="58"/>
      <c r="I194" s="58"/>
      <c r="J194" s="58"/>
      <c r="K194" s="58"/>
      <c r="L194" s="58"/>
      <c r="M194" s="58"/>
      <c r="N194" s="58"/>
      <c r="O194" s="58"/>
      <c r="P194" s="58"/>
      <c r="Q194" s="58"/>
      <c r="R194" s="58"/>
      <c r="S194" s="58"/>
      <c r="T194" s="58"/>
    </row>
    <row r="195" spans="1:20" ht="12.75">
      <c r="A195" s="58"/>
      <c r="B195" s="58"/>
      <c r="C195" s="58"/>
      <c r="D195" s="58"/>
      <c r="E195" s="58"/>
      <c r="F195" s="58"/>
      <c r="G195" s="58"/>
      <c r="H195" s="58"/>
      <c r="I195" s="58"/>
      <c r="J195" s="58"/>
      <c r="K195" s="58"/>
      <c r="L195" s="58"/>
      <c r="M195" s="58"/>
      <c r="N195" s="58"/>
      <c r="O195" s="58"/>
      <c r="P195" s="58"/>
      <c r="Q195" s="58"/>
      <c r="R195" s="58"/>
      <c r="S195" s="58"/>
      <c r="T195" s="58"/>
    </row>
    <row r="196" spans="1:20" ht="12.75">
      <c r="A196" s="58"/>
      <c r="B196" s="58"/>
      <c r="C196" s="58"/>
      <c r="D196" s="58"/>
      <c r="E196" s="58"/>
      <c r="F196" s="58"/>
      <c r="G196" s="58"/>
      <c r="H196" s="58"/>
      <c r="I196" s="58"/>
      <c r="J196" s="58"/>
      <c r="K196" s="58"/>
      <c r="L196" s="58"/>
      <c r="M196" s="58"/>
      <c r="N196" s="58"/>
      <c r="O196" s="58"/>
      <c r="P196" s="58"/>
      <c r="Q196" s="58"/>
      <c r="R196" s="58"/>
      <c r="S196" s="58"/>
      <c r="T196" s="58"/>
    </row>
    <row r="197" spans="1:20" ht="12.75">
      <c r="A197" s="58"/>
      <c r="B197" s="58"/>
      <c r="C197" s="58"/>
      <c r="D197" s="58"/>
      <c r="E197" s="58"/>
      <c r="F197" s="58"/>
      <c r="G197" s="58"/>
      <c r="H197" s="58"/>
      <c r="I197" s="58"/>
      <c r="J197" s="58"/>
      <c r="K197" s="58"/>
      <c r="L197" s="58"/>
      <c r="M197" s="58"/>
      <c r="N197" s="58"/>
      <c r="O197" s="58"/>
      <c r="P197" s="58"/>
      <c r="Q197" s="58"/>
      <c r="R197" s="58"/>
      <c r="S197" s="58"/>
      <c r="T197" s="58"/>
    </row>
    <row r="198" spans="1:20" ht="12.75">
      <c r="A198" s="58"/>
      <c r="B198" s="58"/>
      <c r="C198" s="58"/>
      <c r="D198" s="58"/>
      <c r="E198" s="58"/>
      <c r="F198" s="58"/>
      <c r="G198" s="58"/>
      <c r="H198" s="58"/>
      <c r="I198" s="58"/>
      <c r="J198" s="58"/>
      <c r="K198" s="58"/>
      <c r="L198" s="58"/>
      <c r="M198" s="58"/>
      <c r="N198" s="58"/>
      <c r="O198" s="58"/>
      <c r="P198" s="58"/>
      <c r="Q198" s="58"/>
      <c r="R198" s="58"/>
      <c r="S198" s="58"/>
      <c r="T198" s="58"/>
    </row>
    <row r="199" spans="1:20" ht="12.75">
      <c r="A199" s="58"/>
      <c r="B199" s="58"/>
      <c r="C199" s="58"/>
      <c r="D199" s="58"/>
      <c r="E199" s="58"/>
      <c r="F199" s="58"/>
      <c r="G199" s="58"/>
      <c r="H199" s="58"/>
      <c r="I199" s="58"/>
      <c r="J199" s="58"/>
      <c r="K199" s="58"/>
      <c r="L199" s="58"/>
      <c r="M199" s="58"/>
      <c r="N199" s="58"/>
      <c r="O199" s="58"/>
      <c r="P199" s="58"/>
      <c r="Q199" s="58"/>
      <c r="R199" s="58"/>
      <c r="S199" s="58"/>
      <c r="T199" s="58"/>
    </row>
    <row r="200" spans="1:20" ht="12.75">
      <c r="A200" s="58"/>
      <c r="B200" s="58"/>
      <c r="C200" s="58"/>
      <c r="D200" s="58"/>
      <c r="E200" s="58"/>
      <c r="F200" s="58"/>
      <c r="G200" s="58"/>
      <c r="H200" s="58"/>
      <c r="I200" s="58"/>
      <c r="J200" s="58"/>
      <c r="K200" s="58"/>
      <c r="L200" s="58"/>
      <c r="M200" s="58"/>
      <c r="N200" s="58"/>
      <c r="O200" s="58"/>
      <c r="P200" s="58"/>
      <c r="Q200" s="58"/>
      <c r="R200" s="58"/>
      <c r="S200" s="58"/>
      <c r="T200" s="58"/>
    </row>
    <row r="201" spans="1:20" ht="12.75">
      <c r="A201" s="58"/>
      <c r="B201" s="58"/>
      <c r="C201" s="58"/>
      <c r="D201" s="58"/>
      <c r="E201" s="58"/>
      <c r="F201" s="58"/>
      <c r="G201" s="58"/>
      <c r="H201" s="58"/>
      <c r="I201" s="58"/>
      <c r="J201" s="58"/>
      <c r="K201" s="58"/>
      <c r="L201" s="58"/>
      <c r="M201" s="58"/>
      <c r="N201" s="58"/>
      <c r="O201" s="58"/>
      <c r="P201" s="58"/>
      <c r="Q201" s="58"/>
      <c r="R201" s="58"/>
      <c r="S201" s="58"/>
      <c r="T201" s="58"/>
    </row>
    <row r="202" spans="1:20" ht="12.75">
      <c r="A202" s="58"/>
      <c r="B202" s="58"/>
      <c r="C202" s="58"/>
      <c r="D202" s="58"/>
      <c r="E202" s="58"/>
      <c r="F202" s="58"/>
      <c r="G202" s="58"/>
      <c r="H202" s="58"/>
      <c r="I202" s="58"/>
      <c r="J202" s="58"/>
      <c r="K202" s="58"/>
      <c r="L202" s="58"/>
      <c r="M202" s="58"/>
      <c r="N202" s="58"/>
      <c r="O202" s="58"/>
      <c r="P202" s="58"/>
      <c r="Q202" s="58"/>
      <c r="R202" s="58"/>
      <c r="S202" s="58"/>
      <c r="T202" s="58"/>
    </row>
    <row r="203" spans="1:20" ht="12.75">
      <c r="A203" s="58"/>
      <c r="B203" s="58"/>
      <c r="C203" s="58"/>
      <c r="D203" s="58"/>
      <c r="E203" s="58"/>
      <c r="F203" s="58"/>
      <c r="G203" s="58"/>
      <c r="H203" s="58"/>
      <c r="I203" s="58"/>
      <c r="J203" s="58"/>
      <c r="K203" s="58"/>
      <c r="L203" s="58"/>
      <c r="M203" s="58"/>
      <c r="N203" s="58"/>
      <c r="O203" s="58"/>
      <c r="P203" s="58"/>
      <c r="Q203" s="58"/>
      <c r="R203" s="58"/>
      <c r="S203" s="58"/>
      <c r="T203" s="58"/>
    </row>
    <row r="204" spans="1:20" ht="12.75">
      <c r="A204" s="58"/>
      <c r="B204" s="58"/>
      <c r="C204" s="58"/>
      <c r="D204" s="58"/>
      <c r="E204" s="58"/>
      <c r="F204" s="58"/>
      <c r="G204" s="58"/>
      <c r="H204" s="58"/>
      <c r="I204" s="58"/>
      <c r="J204" s="58"/>
      <c r="K204" s="58"/>
      <c r="L204" s="58"/>
      <c r="M204" s="58"/>
      <c r="N204" s="58"/>
      <c r="O204" s="58"/>
      <c r="P204" s="58"/>
      <c r="Q204" s="58"/>
      <c r="R204" s="58"/>
      <c r="S204" s="58"/>
      <c r="T204" s="58"/>
    </row>
    <row r="205" spans="1:20" ht="12.75">
      <c r="A205" s="58"/>
      <c r="B205" s="58"/>
      <c r="C205" s="58"/>
      <c r="D205" s="58"/>
      <c r="E205" s="58"/>
      <c r="F205" s="58"/>
      <c r="G205" s="58"/>
      <c r="H205" s="58"/>
      <c r="I205" s="58"/>
      <c r="J205" s="58"/>
      <c r="K205" s="58"/>
      <c r="L205" s="58"/>
      <c r="M205" s="58"/>
      <c r="N205" s="58"/>
      <c r="O205" s="58"/>
      <c r="P205" s="58"/>
      <c r="Q205" s="58"/>
      <c r="R205" s="58"/>
      <c r="S205" s="58"/>
      <c r="T205" s="58"/>
    </row>
    <row r="206" spans="1:20" ht="12.75">
      <c r="A206" s="58"/>
      <c r="B206" s="58"/>
      <c r="C206" s="58"/>
      <c r="D206" s="58"/>
      <c r="E206" s="58"/>
      <c r="F206" s="58"/>
      <c r="G206" s="58"/>
      <c r="H206" s="58"/>
      <c r="I206" s="58"/>
      <c r="J206" s="58"/>
      <c r="K206" s="58"/>
      <c r="L206" s="58"/>
      <c r="M206" s="58"/>
      <c r="N206" s="58"/>
      <c r="O206" s="58"/>
      <c r="P206" s="58"/>
      <c r="Q206" s="58"/>
      <c r="R206" s="58"/>
      <c r="S206" s="58"/>
      <c r="T206" s="58"/>
    </row>
    <row r="207" spans="1:20" ht="12.75">
      <c r="A207" s="58"/>
      <c r="B207" s="58"/>
      <c r="C207" s="58"/>
      <c r="D207" s="58"/>
      <c r="E207" s="58"/>
      <c r="F207" s="58"/>
      <c r="G207" s="58"/>
      <c r="H207" s="58"/>
      <c r="I207" s="58"/>
      <c r="J207" s="58"/>
      <c r="K207" s="58"/>
      <c r="L207" s="58"/>
      <c r="M207" s="58"/>
      <c r="N207" s="58"/>
      <c r="O207" s="58"/>
      <c r="P207" s="58"/>
      <c r="Q207" s="58"/>
      <c r="R207" s="58"/>
      <c r="S207" s="58"/>
      <c r="T207" s="58"/>
    </row>
    <row r="208" spans="1:20" ht="12.75">
      <c r="A208" s="58"/>
      <c r="B208" s="58"/>
      <c r="C208" s="58"/>
      <c r="D208" s="58"/>
      <c r="E208" s="58"/>
      <c r="F208" s="58"/>
      <c r="G208" s="58"/>
      <c r="H208" s="58"/>
      <c r="I208" s="58"/>
      <c r="J208" s="58"/>
      <c r="K208" s="58"/>
      <c r="L208" s="58"/>
      <c r="M208" s="58"/>
      <c r="N208" s="58"/>
      <c r="O208" s="58"/>
      <c r="P208" s="58"/>
      <c r="Q208" s="58"/>
      <c r="R208" s="58"/>
      <c r="S208" s="58"/>
      <c r="T208" s="58"/>
    </row>
    <row r="209" spans="1:20" ht="12.75">
      <c r="A209" s="58"/>
      <c r="B209" s="58"/>
      <c r="C209" s="58"/>
      <c r="D209" s="58"/>
      <c r="E209" s="58"/>
      <c r="F209" s="58"/>
      <c r="G209" s="58"/>
      <c r="H209" s="58"/>
      <c r="I209" s="58"/>
      <c r="J209" s="58"/>
      <c r="K209" s="58"/>
      <c r="L209" s="58"/>
      <c r="M209" s="58"/>
      <c r="N209" s="58"/>
      <c r="O209" s="58"/>
      <c r="P209" s="58"/>
      <c r="Q209" s="58"/>
      <c r="R209" s="58"/>
      <c r="S209" s="58"/>
      <c r="T209" s="58"/>
    </row>
    <row r="210" spans="1:20" ht="12.75">
      <c r="A210" s="58"/>
      <c r="B210" s="58"/>
      <c r="C210" s="58"/>
      <c r="D210" s="58"/>
      <c r="E210" s="58"/>
      <c r="F210" s="58"/>
      <c r="G210" s="58"/>
      <c r="H210" s="58"/>
      <c r="I210" s="58"/>
      <c r="J210" s="58"/>
      <c r="K210" s="58"/>
      <c r="L210" s="58"/>
      <c r="M210" s="58"/>
      <c r="N210" s="58"/>
      <c r="O210" s="58"/>
      <c r="P210" s="58"/>
      <c r="Q210" s="58"/>
      <c r="R210" s="58"/>
      <c r="S210" s="58"/>
      <c r="T210" s="58"/>
    </row>
    <row r="211" spans="1:20" ht="12.75">
      <c r="A211" s="58"/>
      <c r="B211" s="58"/>
      <c r="C211" s="58"/>
      <c r="D211" s="58"/>
      <c r="E211" s="58"/>
      <c r="F211" s="58"/>
      <c r="G211" s="58"/>
      <c r="H211" s="58"/>
      <c r="I211" s="58"/>
      <c r="J211" s="58"/>
      <c r="K211" s="58"/>
      <c r="L211" s="58"/>
      <c r="M211" s="58"/>
      <c r="N211" s="58"/>
      <c r="O211" s="58"/>
      <c r="P211" s="58"/>
      <c r="Q211" s="58"/>
      <c r="R211" s="58"/>
      <c r="S211" s="58"/>
      <c r="T211" s="58"/>
    </row>
    <row r="212" spans="1:20" ht="12.75">
      <c r="A212" s="58"/>
      <c r="B212" s="58"/>
      <c r="C212" s="58"/>
      <c r="D212" s="58"/>
      <c r="E212" s="58"/>
      <c r="F212" s="58"/>
      <c r="G212" s="58"/>
      <c r="H212" s="58"/>
      <c r="I212" s="58"/>
      <c r="J212" s="58"/>
      <c r="K212" s="58"/>
      <c r="L212" s="58"/>
      <c r="M212" s="58"/>
      <c r="N212" s="58"/>
      <c r="O212" s="58"/>
      <c r="P212" s="58"/>
      <c r="Q212" s="58"/>
      <c r="R212" s="58"/>
      <c r="S212" s="58"/>
      <c r="T212" s="58"/>
    </row>
    <row r="213" spans="1:20" ht="12.75">
      <c r="A213" s="58"/>
      <c r="B213" s="58"/>
      <c r="C213" s="58"/>
      <c r="D213" s="58"/>
      <c r="E213" s="58"/>
      <c r="F213" s="58"/>
      <c r="G213" s="58"/>
      <c r="H213" s="58"/>
      <c r="I213" s="58"/>
      <c r="J213" s="58"/>
      <c r="K213" s="58"/>
      <c r="L213" s="58"/>
      <c r="M213" s="58"/>
      <c r="N213" s="58"/>
      <c r="O213" s="58"/>
      <c r="P213" s="58"/>
      <c r="Q213" s="58"/>
      <c r="R213" s="58"/>
      <c r="S213" s="58"/>
      <c r="T213" s="58"/>
    </row>
    <row r="214" spans="1:20" ht="12.75">
      <c r="A214" s="58"/>
      <c r="B214" s="58"/>
      <c r="C214" s="58"/>
      <c r="D214" s="58"/>
      <c r="E214" s="58"/>
      <c r="F214" s="58"/>
      <c r="G214" s="58"/>
      <c r="H214" s="58"/>
      <c r="I214" s="58"/>
      <c r="J214" s="58"/>
      <c r="K214" s="58"/>
      <c r="L214" s="58"/>
      <c r="M214" s="58"/>
      <c r="N214" s="58"/>
      <c r="O214" s="58"/>
      <c r="P214" s="58"/>
      <c r="Q214" s="58"/>
      <c r="R214" s="58"/>
      <c r="S214" s="58"/>
      <c r="T214" s="58"/>
    </row>
    <row r="215" spans="1:20" ht="12.75">
      <c r="A215" s="58"/>
      <c r="B215" s="58"/>
      <c r="C215" s="58"/>
      <c r="D215" s="58"/>
      <c r="E215" s="58"/>
      <c r="F215" s="58"/>
      <c r="G215" s="58"/>
      <c r="H215" s="58"/>
      <c r="I215" s="58"/>
      <c r="J215" s="58"/>
      <c r="K215" s="58"/>
      <c r="L215" s="58"/>
      <c r="M215" s="58"/>
      <c r="N215" s="58"/>
      <c r="O215" s="58"/>
      <c r="P215" s="58"/>
      <c r="Q215" s="58"/>
      <c r="R215" s="58"/>
      <c r="S215" s="58"/>
      <c r="T215" s="58"/>
    </row>
    <row r="216" spans="1:20" ht="12.75">
      <c r="A216" s="58"/>
      <c r="B216" s="58"/>
      <c r="C216" s="58"/>
      <c r="D216" s="58"/>
      <c r="E216" s="58"/>
      <c r="F216" s="58"/>
      <c r="G216" s="58"/>
      <c r="H216" s="58"/>
      <c r="I216" s="58"/>
      <c r="J216" s="58"/>
      <c r="K216" s="58"/>
      <c r="L216" s="58"/>
      <c r="M216" s="58"/>
      <c r="N216" s="58"/>
      <c r="O216" s="58"/>
      <c r="P216" s="58"/>
      <c r="Q216" s="58"/>
      <c r="R216" s="58"/>
      <c r="S216" s="58"/>
      <c r="T216" s="58"/>
    </row>
    <row r="217" spans="1:20" ht="12.75">
      <c r="A217" s="58"/>
      <c r="B217" s="58"/>
      <c r="C217" s="58"/>
      <c r="D217" s="58"/>
      <c r="E217" s="58"/>
      <c r="F217" s="58"/>
      <c r="G217" s="58"/>
      <c r="H217" s="58"/>
      <c r="I217" s="58"/>
      <c r="J217" s="58"/>
      <c r="K217" s="58"/>
      <c r="L217" s="58"/>
      <c r="M217" s="58"/>
      <c r="N217" s="58"/>
      <c r="O217" s="58"/>
      <c r="P217" s="58"/>
      <c r="Q217" s="58"/>
      <c r="R217" s="58"/>
      <c r="S217" s="58"/>
      <c r="T217" s="58"/>
    </row>
    <row r="218" spans="1:20" ht="12.75">
      <c r="A218" s="58"/>
      <c r="B218" s="58"/>
      <c r="C218" s="58"/>
      <c r="D218" s="58"/>
      <c r="E218" s="58"/>
      <c r="F218" s="58"/>
      <c r="G218" s="58"/>
      <c r="H218" s="58"/>
      <c r="I218" s="58"/>
      <c r="J218" s="58"/>
      <c r="K218" s="58"/>
      <c r="L218" s="58"/>
      <c r="M218" s="58"/>
      <c r="N218" s="58"/>
      <c r="O218" s="58"/>
      <c r="P218" s="58"/>
      <c r="Q218" s="58"/>
      <c r="R218" s="58"/>
      <c r="S218" s="58"/>
      <c r="T218" s="58"/>
    </row>
    <row r="219" spans="1:20" ht="12.75">
      <c r="A219" s="58"/>
      <c r="B219" s="58"/>
      <c r="C219" s="58"/>
      <c r="D219" s="58"/>
      <c r="E219" s="58"/>
      <c r="F219" s="58"/>
      <c r="G219" s="58"/>
      <c r="H219" s="58"/>
      <c r="I219" s="58"/>
      <c r="J219" s="58"/>
      <c r="K219" s="58"/>
      <c r="L219" s="58"/>
      <c r="M219" s="58"/>
      <c r="N219" s="58"/>
      <c r="O219" s="58"/>
      <c r="P219" s="58"/>
      <c r="Q219" s="58"/>
      <c r="R219" s="58"/>
      <c r="S219" s="58"/>
      <c r="T219" s="58"/>
    </row>
    <row r="220" spans="1:20" ht="12.75">
      <c r="A220" s="58"/>
      <c r="B220" s="58"/>
      <c r="C220" s="58"/>
      <c r="D220" s="58"/>
      <c r="E220" s="58"/>
      <c r="F220" s="58"/>
      <c r="G220" s="58"/>
      <c r="H220" s="58"/>
      <c r="I220" s="58"/>
      <c r="J220" s="58"/>
      <c r="K220" s="58"/>
      <c r="L220" s="58"/>
      <c r="M220" s="58"/>
      <c r="N220" s="58"/>
      <c r="O220" s="58"/>
      <c r="P220" s="58"/>
      <c r="Q220" s="58"/>
      <c r="R220" s="58"/>
      <c r="S220" s="58"/>
      <c r="T220" s="58"/>
    </row>
    <row r="221" spans="1:20" ht="12.75">
      <c r="A221" s="58"/>
      <c r="B221" s="58"/>
      <c r="C221" s="58"/>
      <c r="D221" s="58"/>
      <c r="E221" s="58"/>
      <c r="F221" s="58"/>
      <c r="G221" s="58"/>
      <c r="H221" s="58"/>
      <c r="I221" s="58"/>
      <c r="J221" s="58"/>
      <c r="K221" s="58"/>
      <c r="L221" s="58"/>
      <c r="M221" s="58"/>
      <c r="N221" s="58"/>
      <c r="O221" s="58"/>
      <c r="P221" s="58"/>
      <c r="Q221" s="58"/>
      <c r="R221" s="58"/>
      <c r="S221" s="58"/>
      <c r="T221" s="58"/>
    </row>
    <row r="222" spans="1:20" ht="12.75">
      <c r="A222" s="58"/>
      <c r="B222" s="58"/>
      <c r="C222" s="58"/>
      <c r="D222" s="58"/>
      <c r="E222" s="58"/>
      <c r="F222" s="58"/>
      <c r="G222" s="58"/>
      <c r="H222" s="58"/>
      <c r="I222" s="58"/>
      <c r="J222" s="58"/>
      <c r="K222" s="58"/>
      <c r="L222" s="58"/>
      <c r="M222" s="58"/>
      <c r="N222" s="58"/>
      <c r="O222" s="58"/>
      <c r="P222" s="58"/>
      <c r="Q222" s="58"/>
      <c r="R222" s="58"/>
      <c r="S222" s="58"/>
      <c r="T222" s="58"/>
    </row>
    <row r="223" spans="1:20" ht="12.75">
      <c r="A223" s="58"/>
      <c r="B223" s="58"/>
      <c r="C223" s="58"/>
      <c r="D223" s="58"/>
      <c r="E223" s="58"/>
      <c r="F223" s="58"/>
      <c r="G223" s="58"/>
      <c r="H223" s="58"/>
      <c r="I223" s="58"/>
      <c r="J223" s="58"/>
      <c r="K223" s="58"/>
      <c r="L223" s="58"/>
      <c r="M223" s="58"/>
      <c r="N223" s="58"/>
      <c r="O223" s="58"/>
      <c r="P223" s="58"/>
      <c r="Q223" s="58"/>
      <c r="R223" s="58"/>
      <c r="S223" s="58"/>
      <c r="T223" s="58"/>
    </row>
    <row r="224" spans="1:20" ht="12.75">
      <c r="A224" s="58"/>
      <c r="B224" s="58"/>
      <c r="C224" s="58"/>
      <c r="D224" s="58"/>
      <c r="E224" s="58"/>
      <c r="F224" s="58"/>
      <c r="G224" s="58"/>
      <c r="H224" s="58"/>
      <c r="I224" s="58"/>
      <c r="J224" s="58"/>
      <c r="K224" s="58"/>
      <c r="L224" s="58"/>
      <c r="M224" s="58"/>
      <c r="N224" s="58"/>
      <c r="O224" s="58"/>
      <c r="P224" s="58"/>
      <c r="Q224" s="58"/>
      <c r="R224" s="58"/>
      <c r="S224" s="58"/>
      <c r="T224" s="58"/>
    </row>
    <row r="225" spans="1:20" ht="12.75">
      <c r="A225" s="58"/>
      <c r="B225" s="58"/>
      <c r="C225" s="58"/>
      <c r="D225" s="58"/>
      <c r="E225" s="58"/>
      <c r="F225" s="58"/>
      <c r="G225" s="58"/>
      <c r="H225" s="58"/>
      <c r="I225" s="58"/>
      <c r="J225" s="58"/>
      <c r="K225" s="58"/>
      <c r="L225" s="58"/>
      <c r="M225" s="58"/>
      <c r="N225" s="58"/>
      <c r="O225" s="58"/>
      <c r="P225" s="58"/>
      <c r="Q225" s="58"/>
      <c r="R225" s="58"/>
      <c r="S225" s="58"/>
      <c r="T225" s="58"/>
    </row>
    <row r="226" spans="1:20" ht="12.75">
      <c r="A226" s="58"/>
      <c r="B226" s="58"/>
      <c r="C226" s="58"/>
      <c r="D226" s="58"/>
      <c r="E226" s="58"/>
      <c r="F226" s="58"/>
      <c r="G226" s="58"/>
      <c r="H226" s="58"/>
      <c r="I226" s="58"/>
      <c r="J226" s="58"/>
      <c r="K226" s="58"/>
      <c r="L226" s="58"/>
      <c r="M226" s="58"/>
      <c r="N226" s="58"/>
      <c r="O226" s="58"/>
      <c r="P226" s="58"/>
      <c r="Q226" s="58"/>
      <c r="R226" s="58"/>
      <c r="S226" s="58"/>
      <c r="T226" s="58"/>
    </row>
    <row r="227" spans="1:20" ht="12.75">
      <c r="A227" s="58"/>
      <c r="B227" s="58"/>
      <c r="C227" s="58"/>
      <c r="D227" s="58"/>
      <c r="E227" s="58"/>
      <c r="F227" s="58"/>
      <c r="G227" s="58"/>
      <c r="H227" s="58"/>
      <c r="I227" s="58"/>
      <c r="J227" s="58"/>
      <c r="K227" s="58"/>
      <c r="L227" s="58"/>
      <c r="M227" s="58"/>
      <c r="N227" s="58"/>
      <c r="O227" s="58"/>
      <c r="P227" s="58"/>
      <c r="Q227" s="58"/>
      <c r="R227" s="58"/>
      <c r="S227" s="58"/>
      <c r="T227" s="58"/>
    </row>
    <row r="228" spans="1:20" ht="12.75">
      <c r="A228" s="58"/>
      <c r="B228" s="58"/>
      <c r="C228" s="58"/>
      <c r="D228" s="58"/>
      <c r="E228" s="58"/>
      <c r="F228" s="58"/>
      <c r="G228" s="58"/>
      <c r="H228" s="58"/>
      <c r="I228" s="58"/>
      <c r="J228" s="58"/>
      <c r="K228" s="58"/>
      <c r="L228" s="58"/>
      <c r="M228" s="58"/>
      <c r="N228" s="58"/>
      <c r="O228" s="58"/>
      <c r="P228" s="58"/>
      <c r="Q228" s="58"/>
      <c r="R228" s="58"/>
      <c r="S228" s="58"/>
      <c r="T228" s="58"/>
    </row>
    <row r="229" spans="1:20" ht="12.75">
      <c r="A229" s="58"/>
      <c r="B229" s="58"/>
      <c r="C229" s="58"/>
      <c r="D229" s="58"/>
      <c r="E229" s="58"/>
      <c r="F229" s="58"/>
      <c r="G229" s="58"/>
      <c r="H229" s="58"/>
      <c r="I229" s="58"/>
      <c r="J229" s="58"/>
      <c r="K229" s="58"/>
      <c r="L229" s="58"/>
      <c r="M229" s="58"/>
      <c r="N229" s="58"/>
      <c r="O229" s="58"/>
      <c r="P229" s="58"/>
      <c r="Q229" s="58"/>
      <c r="R229" s="58"/>
      <c r="S229" s="58"/>
      <c r="T229" s="58"/>
    </row>
    <row r="230" spans="1:20" ht="12.75">
      <c r="A230" s="58"/>
      <c r="B230" s="58"/>
      <c r="C230" s="58"/>
      <c r="D230" s="58"/>
      <c r="E230" s="58"/>
      <c r="F230" s="58"/>
      <c r="G230" s="58"/>
      <c r="H230" s="58"/>
      <c r="I230" s="58"/>
      <c r="J230" s="58"/>
      <c r="K230" s="58"/>
      <c r="L230" s="58"/>
      <c r="M230" s="58"/>
      <c r="N230" s="58"/>
      <c r="O230" s="58"/>
      <c r="P230" s="58"/>
      <c r="Q230" s="58"/>
      <c r="R230" s="58"/>
      <c r="S230" s="58"/>
      <c r="T230" s="58"/>
    </row>
    <row r="231" spans="1:20" ht="12.75">
      <c r="A231" s="58"/>
      <c r="B231" s="58"/>
      <c r="C231" s="58"/>
      <c r="D231" s="58"/>
      <c r="E231" s="58"/>
      <c r="F231" s="58"/>
      <c r="G231" s="58"/>
      <c r="H231" s="58"/>
      <c r="I231" s="58"/>
      <c r="J231" s="58"/>
      <c r="K231" s="58"/>
      <c r="L231" s="58"/>
      <c r="M231" s="58"/>
      <c r="N231" s="58"/>
      <c r="O231" s="58"/>
      <c r="P231" s="58"/>
      <c r="Q231" s="58"/>
      <c r="R231" s="58"/>
      <c r="S231" s="58"/>
      <c r="T231" s="58"/>
    </row>
    <row r="232" spans="1:20" ht="12.75">
      <c r="A232" s="58"/>
      <c r="B232" s="58"/>
      <c r="C232" s="58"/>
      <c r="D232" s="58"/>
      <c r="E232" s="58"/>
      <c r="F232" s="58"/>
      <c r="G232" s="58"/>
      <c r="H232" s="58"/>
      <c r="I232" s="58"/>
      <c r="J232" s="58"/>
      <c r="K232" s="58"/>
      <c r="L232" s="58"/>
      <c r="M232" s="58"/>
      <c r="N232" s="58"/>
      <c r="O232" s="58"/>
      <c r="P232" s="58"/>
      <c r="Q232" s="58"/>
      <c r="R232" s="58"/>
      <c r="S232" s="58"/>
      <c r="T232" s="58"/>
    </row>
    <row r="233" spans="1:20" ht="12.75">
      <c r="A233" s="58"/>
      <c r="B233" s="58"/>
      <c r="C233" s="58"/>
      <c r="D233" s="58"/>
      <c r="E233" s="58"/>
      <c r="F233" s="58"/>
      <c r="G233" s="58"/>
      <c r="H233" s="58"/>
      <c r="I233" s="58"/>
      <c r="J233" s="58"/>
      <c r="K233" s="58"/>
      <c r="L233" s="58"/>
      <c r="M233" s="58"/>
      <c r="N233" s="58"/>
      <c r="O233" s="58"/>
      <c r="P233" s="58"/>
      <c r="Q233" s="58"/>
      <c r="R233" s="58"/>
      <c r="S233" s="58"/>
      <c r="T233" s="58"/>
    </row>
    <row r="234" spans="1:20" ht="12.75">
      <c r="A234" s="58"/>
      <c r="B234" s="58"/>
      <c r="C234" s="58"/>
      <c r="D234" s="58"/>
      <c r="E234" s="58"/>
      <c r="F234" s="58"/>
      <c r="G234" s="58"/>
      <c r="H234" s="58"/>
      <c r="I234" s="58"/>
      <c r="J234" s="58"/>
      <c r="K234" s="58"/>
      <c r="L234" s="58"/>
      <c r="M234" s="58"/>
      <c r="N234" s="58"/>
      <c r="O234" s="58"/>
      <c r="P234" s="58"/>
      <c r="Q234" s="58"/>
      <c r="R234" s="58"/>
      <c r="S234" s="58"/>
      <c r="T234" s="58"/>
    </row>
    <row r="235" spans="1:20" ht="12.75">
      <c r="A235" s="58"/>
      <c r="B235" s="58"/>
      <c r="C235" s="58"/>
      <c r="D235" s="58"/>
      <c r="E235" s="58"/>
      <c r="F235" s="58"/>
      <c r="G235" s="58"/>
      <c r="H235" s="58"/>
      <c r="I235" s="58"/>
      <c r="J235" s="58"/>
      <c r="K235" s="58"/>
      <c r="L235" s="58"/>
      <c r="M235" s="58"/>
      <c r="N235" s="58"/>
      <c r="O235" s="58"/>
      <c r="P235" s="58"/>
      <c r="Q235" s="58"/>
      <c r="R235" s="58"/>
      <c r="S235" s="58"/>
      <c r="T235" s="58"/>
    </row>
    <row r="236" spans="1:20" ht="12.75">
      <c r="A236" s="58"/>
      <c r="B236" s="58"/>
      <c r="C236" s="58"/>
      <c r="D236" s="58"/>
      <c r="E236" s="58"/>
      <c r="F236" s="58"/>
      <c r="G236" s="58"/>
      <c r="H236" s="58"/>
      <c r="I236" s="58"/>
      <c r="J236" s="58"/>
      <c r="K236" s="58"/>
      <c r="L236" s="58"/>
      <c r="M236" s="58"/>
      <c r="N236" s="58"/>
      <c r="O236" s="58"/>
      <c r="P236" s="58"/>
      <c r="Q236" s="58"/>
      <c r="R236" s="58"/>
      <c r="S236" s="58"/>
      <c r="T236" s="58"/>
    </row>
    <row r="237" spans="1:20" ht="12.75">
      <c r="A237" s="58"/>
      <c r="B237" s="58"/>
      <c r="C237" s="58"/>
      <c r="D237" s="58"/>
      <c r="E237" s="58"/>
      <c r="F237" s="58"/>
      <c r="G237" s="58"/>
      <c r="H237" s="58"/>
      <c r="I237" s="58"/>
      <c r="J237" s="58"/>
      <c r="K237" s="58"/>
      <c r="L237" s="58"/>
      <c r="M237" s="58"/>
      <c r="N237" s="58"/>
      <c r="O237" s="58"/>
      <c r="P237" s="58"/>
      <c r="Q237" s="58"/>
      <c r="R237" s="58"/>
      <c r="S237" s="58"/>
      <c r="T237" s="58"/>
    </row>
    <row r="238" spans="1:20" ht="12.75">
      <c r="A238" s="58"/>
      <c r="B238" s="58"/>
      <c r="C238" s="58"/>
      <c r="D238" s="58"/>
      <c r="E238" s="58"/>
      <c r="F238" s="58"/>
      <c r="G238" s="58"/>
      <c r="H238" s="58"/>
      <c r="I238" s="58"/>
      <c r="J238" s="58"/>
      <c r="K238" s="58"/>
      <c r="L238" s="58"/>
      <c r="M238" s="58"/>
      <c r="N238" s="58"/>
      <c r="O238" s="58"/>
      <c r="P238" s="58"/>
      <c r="Q238" s="58"/>
      <c r="R238" s="58"/>
      <c r="S238" s="58"/>
      <c r="T238" s="58"/>
    </row>
    <row r="239" spans="1:20" ht="12.75">
      <c r="A239" s="58"/>
      <c r="B239" s="58"/>
      <c r="C239" s="58"/>
      <c r="D239" s="58"/>
      <c r="E239" s="58"/>
      <c r="F239" s="58"/>
      <c r="G239" s="58"/>
      <c r="H239" s="58"/>
      <c r="I239" s="58"/>
      <c r="J239" s="58"/>
      <c r="K239" s="58"/>
      <c r="L239" s="58"/>
      <c r="M239" s="58"/>
      <c r="N239" s="58"/>
      <c r="O239" s="58"/>
      <c r="P239" s="58"/>
      <c r="Q239" s="58"/>
      <c r="R239" s="58"/>
      <c r="S239" s="58"/>
      <c r="T239" s="58"/>
    </row>
    <row r="240" spans="1:20" ht="12.75">
      <c r="A240" s="58"/>
      <c r="B240" s="58"/>
      <c r="C240" s="58"/>
      <c r="D240" s="58"/>
      <c r="E240" s="58"/>
      <c r="F240" s="58"/>
      <c r="G240" s="58"/>
      <c r="H240" s="58"/>
      <c r="I240" s="58"/>
      <c r="J240" s="58"/>
      <c r="K240" s="58"/>
      <c r="L240" s="58"/>
      <c r="M240" s="58"/>
      <c r="N240" s="58"/>
      <c r="O240" s="58"/>
      <c r="P240" s="58"/>
      <c r="Q240" s="58"/>
      <c r="R240" s="58"/>
      <c r="S240" s="58"/>
      <c r="T240" s="58"/>
    </row>
    <row r="241" spans="1:20" ht="12.75">
      <c r="A241" s="58"/>
      <c r="B241" s="58"/>
      <c r="C241" s="58"/>
      <c r="D241" s="58"/>
      <c r="E241" s="58"/>
      <c r="F241" s="58"/>
      <c r="G241" s="58"/>
      <c r="H241" s="58"/>
      <c r="I241" s="58"/>
      <c r="J241" s="58"/>
      <c r="K241" s="58"/>
      <c r="L241" s="58"/>
      <c r="M241" s="58"/>
      <c r="N241" s="58"/>
      <c r="O241" s="58"/>
      <c r="P241" s="58"/>
      <c r="Q241" s="58"/>
      <c r="R241" s="58"/>
      <c r="S241" s="58"/>
      <c r="T241" s="58"/>
    </row>
    <row r="242" spans="1:20" ht="12.75">
      <c r="A242" s="58"/>
      <c r="B242" s="58"/>
      <c r="C242" s="58"/>
      <c r="D242" s="58"/>
      <c r="E242" s="58"/>
      <c r="F242" s="58"/>
      <c r="G242" s="58"/>
      <c r="H242" s="58"/>
      <c r="I242" s="58"/>
      <c r="J242" s="58"/>
      <c r="K242" s="58"/>
      <c r="L242" s="58"/>
      <c r="M242" s="58"/>
      <c r="N242" s="58"/>
      <c r="O242" s="58"/>
      <c r="P242" s="58"/>
      <c r="Q242" s="58"/>
      <c r="R242" s="58"/>
      <c r="S242" s="58"/>
      <c r="T242" s="58"/>
    </row>
    <row r="243" spans="1:20" ht="12.75">
      <c r="A243" s="58"/>
      <c r="B243" s="58"/>
      <c r="C243" s="58"/>
      <c r="D243" s="58"/>
      <c r="E243" s="58"/>
      <c r="F243" s="58"/>
      <c r="G243" s="58"/>
      <c r="H243" s="58"/>
      <c r="I243" s="58"/>
      <c r="J243" s="58"/>
      <c r="K243" s="58"/>
      <c r="L243" s="58"/>
      <c r="M243" s="58"/>
      <c r="N243" s="58"/>
      <c r="O243" s="58"/>
      <c r="P243" s="58"/>
      <c r="Q243" s="58"/>
      <c r="R243" s="58"/>
      <c r="S243" s="58"/>
      <c r="T243" s="58"/>
    </row>
    <row r="244" spans="1:20" ht="12.75">
      <c r="A244" s="58"/>
      <c r="B244" s="58"/>
      <c r="C244" s="58"/>
      <c r="D244" s="58"/>
      <c r="E244" s="58"/>
      <c r="F244" s="58"/>
      <c r="G244" s="58"/>
      <c r="H244" s="58"/>
      <c r="I244" s="58"/>
      <c r="J244" s="58"/>
      <c r="K244" s="58"/>
      <c r="L244" s="58"/>
      <c r="M244" s="58"/>
      <c r="N244" s="58"/>
      <c r="O244" s="58"/>
      <c r="P244" s="58"/>
      <c r="Q244" s="58"/>
      <c r="R244" s="58"/>
      <c r="S244" s="58"/>
      <c r="T244" s="58"/>
    </row>
    <row r="245" spans="1:20" ht="12.75">
      <c r="A245" s="58"/>
      <c r="B245" s="58"/>
      <c r="C245" s="58"/>
      <c r="D245" s="58"/>
      <c r="E245" s="58"/>
      <c r="F245" s="58"/>
      <c r="G245" s="58"/>
      <c r="H245" s="58"/>
      <c r="I245" s="58"/>
      <c r="J245" s="58"/>
      <c r="K245" s="58"/>
      <c r="L245" s="58"/>
      <c r="M245" s="58"/>
      <c r="N245" s="58"/>
      <c r="O245" s="58"/>
      <c r="P245" s="58"/>
      <c r="Q245" s="58"/>
      <c r="R245" s="58"/>
      <c r="S245" s="58"/>
      <c r="T245" s="58"/>
    </row>
    <row r="246" spans="1:20" ht="12.75">
      <c r="A246" s="58"/>
      <c r="B246" s="58"/>
      <c r="C246" s="58"/>
      <c r="D246" s="58"/>
      <c r="E246" s="58"/>
      <c r="F246" s="58"/>
      <c r="G246" s="58"/>
      <c r="H246" s="58"/>
      <c r="I246" s="58"/>
      <c r="J246" s="58"/>
      <c r="K246" s="58"/>
      <c r="L246" s="58"/>
      <c r="M246" s="58"/>
      <c r="N246" s="58"/>
      <c r="O246" s="58"/>
      <c r="P246" s="58"/>
      <c r="Q246" s="58"/>
      <c r="R246" s="58"/>
      <c r="S246" s="58"/>
      <c r="T246" s="58"/>
    </row>
    <row r="247" spans="1:20" ht="12.75">
      <c r="A247" s="58"/>
      <c r="B247" s="58"/>
      <c r="C247" s="58"/>
      <c r="D247" s="58"/>
      <c r="E247" s="58"/>
      <c r="F247" s="58"/>
      <c r="G247" s="58"/>
      <c r="H247" s="58"/>
      <c r="I247" s="58"/>
      <c r="J247" s="58"/>
      <c r="K247" s="58"/>
      <c r="L247" s="58"/>
      <c r="M247" s="58"/>
      <c r="N247" s="58"/>
      <c r="O247" s="58"/>
      <c r="P247" s="58"/>
      <c r="Q247" s="58"/>
      <c r="R247" s="58"/>
      <c r="S247" s="58"/>
      <c r="T247" s="58"/>
    </row>
    <row r="248" spans="1:20" ht="12.75">
      <c r="A248" s="58"/>
      <c r="B248" s="58"/>
      <c r="C248" s="58"/>
      <c r="D248" s="58"/>
      <c r="E248" s="58"/>
      <c r="F248" s="58"/>
      <c r="G248" s="58"/>
      <c r="H248" s="58"/>
      <c r="I248" s="58"/>
      <c r="J248" s="58"/>
      <c r="K248" s="58"/>
      <c r="L248" s="58"/>
      <c r="M248" s="58"/>
      <c r="N248" s="58"/>
      <c r="O248" s="58"/>
      <c r="P248" s="58"/>
      <c r="Q248" s="58"/>
      <c r="R248" s="58"/>
      <c r="S248" s="58"/>
      <c r="T248" s="58"/>
    </row>
    <row r="249" spans="1:20" ht="12.75">
      <c r="A249" s="58"/>
      <c r="B249" s="58"/>
      <c r="C249" s="58"/>
      <c r="D249" s="58"/>
      <c r="E249" s="58"/>
      <c r="F249" s="58"/>
      <c r="G249" s="58"/>
      <c r="H249" s="58"/>
      <c r="I249" s="58"/>
      <c r="J249" s="58"/>
      <c r="K249" s="58"/>
      <c r="L249" s="58"/>
      <c r="M249" s="58"/>
      <c r="N249" s="58"/>
      <c r="O249" s="58"/>
      <c r="P249" s="58"/>
      <c r="Q249" s="58"/>
      <c r="R249" s="58"/>
      <c r="S249" s="58"/>
      <c r="T249" s="58"/>
    </row>
    <row r="250" spans="1:20" ht="12.75">
      <c r="A250" s="58"/>
      <c r="B250" s="58"/>
      <c r="C250" s="58"/>
      <c r="D250" s="58"/>
      <c r="E250" s="58"/>
      <c r="F250" s="58"/>
      <c r="G250" s="58"/>
      <c r="H250" s="58"/>
      <c r="I250" s="58"/>
      <c r="J250" s="58"/>
      <c r="K250" s="58"/>
      <c r="L250" s="58"/>
      <c r="M250" s="58"/>
      <c r="N250" s="58"/>
      <c r="O250" s="58"/>
      <c r="P250" s="58"/>
      <c r="Q250" s="58"/>
      <c r="R250" s="58"/>
      <c r="S250" s="58"/>
      <c r="T250" s="58"/>
    </row>
    <row r="251" spans="1:20" ht="12.75">
      <c r="A251" s="58"/>
      <c r="B251" s="58"/>
      <c r="C251" s="58"/>
      <c r="D251" s="58"/>
      <c r="E251" s="58"/>
      <c r="F251" s="58"/>
      <c r="G251" s="58"/>
      <c r="H251" s="58"/>
      <c r="I251" s="58"/>
      <c r="J251" s="58"/>
      <c r="K251" s="58"/>
      <c r="L251" s="58"/>
      <c r="M251" s="58"/>
      <c r="N251" s="58"/>
      <c r="O251" s="58"/>
      <c r="P251" s="58"/>
      <c r="Q251" s="58"/>
      <c r="R251" s="58"/>
      <c r="S251" s="58"/>
      <c r="T251" s="58"/>
    </row>
    <row r="252" spans="1:20" ht="12.75">
      <c r="A252" s="58"/>
      <c r="B252" s="58"/>
      <c r="C252" s="58"/>
      <c r="D252" s="58"/>
      <c r="E252" s="58"/>
      <c r="F252" s="58"/>
      <c r="G252" s="58"/>
      <c r="H252" s="58"/>
      <c r="I252" s="58"/>
      <c r="J252" s="58"/>
      <c r="K252" s="58"/>
      <c r="L252" s="58"/>
      <c r="M252" s="58"/>
      <c r="N252" s="58"/>
      <c r="O252" s="58"/>
      <c r="P252" s="58"/>
      <c r="Q252" s="58"/>
      <c r="R252" s="58"/>
      <c r="S252" s="58"/>
      <c r="T252" s="58"/>
    </row>
    <row r="253" spans="1:20" ht="12.75">
      <c r="A253" s="58"/>
      <c r="B253" s="58"/>
      <c r="C253" s="58"/>
      <c r="D253" s="58"/>
      <c r="E253" s="58"/>
      <c r="F253" s="58"/>
      <c r="G253" s="58"/>
      <c r="H253" s="58"/>
      <c r="I253" s="58"/>
      <c r="J253" s="58"/>
      <c r="K253" s="58"/>
      <c r="L253" s="58"/>
      <c r="M253" s="58"/>
      <c r="N253" s="58"/>
      <c r="O253" s="58"/>
      <c r="P253" s="58"/>
      <c r="Q253" s="58"/>
      <c r="R253" s="58"/>
      <c r="S253" s="58"/>
      <c r="T253" s="58"/>
    </row>
    <row r="254" spans="1:20" ht="12.75">
      <c r="A254" s="58"/>
      <c r="B254" s="58"/>
      <c r="C254" s="58"/>
      <c r="D254" s="58"/>
      <c r="E254" s="58"/>
      <c r="F254" s="58"/>
      <c r="G254" s="58"/>
      <c r="H254" s="58"/>
      <c r="I254" s="58"/>
      <c r="J254" s="58"/>
      <c r="K254" s="58"/>
      <c r="L254" s="58"/>
      <c r="M254" s="58"/>
      <c r="N254" s="58"/>
      <c r="O254" s="58"/>
      <c r="P254" s="58"/>
      <c r="Q254" s="58"/>
      <c r="R254" s="58"/>
      <c r="S254" s="58"/>
      <c r="T254" s="58"/>
    </row>
    <row r="255" spans="1:20" ht="12.75">
      <c r="A255" s="58"/>
      <c r="B255" s="58"/>
      <c r="C255" s="58"/>
      <c r="D255" s="58"/>
      <c r="E255" s="58"/>
      <c r="F255" s="58"/>
      <c r="G255" s="58"/>
      <c r="H255" s="58"/>
      <c r="I255" s="58"/>
      <c r="J255" s="58"/>
      <c r="K255" s="58"/>
      <c r="L255" s="58"/>
      <c r="M255" s="58"/>
      <c r="N255" s="58"/>
      <c r="O255" s="58"/>
      <c r="P255" s="58"/>
      <c r="Q255" s="58"/>
      <c r="R255" s="58"/>
      <c r="S255" s="58"/>
      <c r="T255" s="58"/>
    </row>
    <row r="256" spans="1:20" ht="12.75">
      <c r="A256" s="58"/>
      <c r="B256" s="58"/>
      <c r="C256" s="58"/>
      <c r="D256" s="58"/>
      <c r="E256" s="58"/>
      <c r="F256" s="58"/>
      <c r="G256" s="58"/>
      <c r="H256" s="58"/>
      <c r="I256" s="58"/>
      <c r="J256" s="58"/>
      <c r="K256" s="58"/>
      <c r="L256" s="58"/>
      <c r="M256" s="58"/>
      <c r="N256" s="58"/>
      <c r="O256" s="58"/>
      <c r="P256" s="58"/>
      <c r="Q256" s="58"/>
      <c r="R256" s="58"/>
      <c r="S256" s="58"/>
      <c r="T256" s="58"/>
    </row>
    <row r="257" spans="1:20" ht="12.75">
      <c r="A257" s="58"/>
      <c r="B257" s="58"/>
      <c r="C257" s="58"/>
      <c r="D257" s="58"/>
      <c r="E257" s="58"/>
      <c r="F257" s="58"/>
      <c r="G257" s="58"/>
      <c r="H257" s="58"/>
      <c r="I257" s="58"/>
      <c r="J257" s="58"/>
      <c r="K257" s="58"/>
      <c r="L257" s="58"/>
      <c r="M257" s="58"/>
      <c r="N257" s="58"/>
      <c r="O257" s="58"/>
      <c r="P257" s="58"/>
      <c r="Q257" s="58"/>
      <c r="R257" s="58"/>
      <c r="S257" s="58"/>
      <c r="T257" s="58"/>
    </row>
    <row r="258" spans="1:20" ht="12.75">
      <c r="A258" s="58"/>
      <c r="B258" s="58"/>
      <c r="C258" s="58"/>
      <c r="D258" s="58"/>
      <c r="E258" s="58"/>
      <c r="F258" s="58"/>
      <c r="G258" s="58"/>
      <c r="H258" s="58"/>
      <c r="I258" s="58"/>
      <c r="J258" s="58"/>
      <c r="K258" s="58"/>
      <c r="L258" s="58"/>
      <c r="M258" s="58"/>
      <c r="N258" s="58"/>
      <c r="O258" s="58"/>
      <c r="P258" s="58"/>
      <c r="Q258" s="58"/>
      <c r="R258" s="58"/>
      <c r="S258" s="58"/>
      <c r="T258" s="58"/>
    </row>
    <row r="259" spans="1:20" ht="12.75">
      <c r="A259" s="58"/>
      <c r="B259" s="58"/>
      <c r="C259" s="58"/>
      <c r="D259" s="58"/>
      <c r="E259" s="58"/>
      <c r="F259" s="58"/>
      <c r="G259" s="58"/>
      <c r="H259" s="58"/>
      <c r="I259" s="58"/>
      <c r="J259" s="58"/>
      <c r="K259" s="58"/>
      <c r="L259" s="58"/>
      <c r="M259" s="58"/>
      <c r="N259" s="58"/>
      <c r="O259" s="58"/>
      <c r="P259" s="58"/>
      <c r="Q259" s="58"/>
      <c r="R259" s="58"/>
      <c r="S259" s="58"/>
      <c r="T259" s="58"/>
    </row>
    <row r="260" spans="1:20" ht="12.75">
      <c r="A260" s="58"/>
      <c r="B260" s="58"/>
      <c r="C260" s="58"/>
      <c r="D260" s="58"/>
      <c r="E260" s="58"/>
      <c r="F260" s="58"/>
      <c r="G260" s="58"/>
      <c r="H260" s="58"/>
      <c r="I260" s="58"/>
      <c r="J260" s="58"/>
      <c r="K260" s="58"/>
      <c r="L260" s="58"/>
      <c r="M260" s="58"/>
      <c r="N260" s="58"/>
      <c r="O260" s="58"/>
      <c r="P260" s="58"/>
      <c r="Q260" s="58"/>
      <c r="R260" s="58"/>
      <c r="S260" s="58"/>
      <c r="T260" s="58"/>
    </row>
    <row r="261" spans="1:20" ht="12.75">
      <c r="A261" s="58"/>
      <c r="B261" s="58"/>
      <c r="C261" s="58"/>
      <c r="D261" s="58"/>
      <c r="E261" s="58"/>
      <c r="F261" s="58"/>
      <c r="G261" s="58"/>
      <c r="H261" s="58"/>
      <c r="I261" s="58"/>
      <c r="J261" s="58"/>
      <c r="K261" s="58"/>
      <c r="L261" s="58"/>
      <c r="M261" s="58"/>
      <c r="N261" s="58"/>
      <c r="O261" s="58"/>
      <c r="P261" s="58"/>
      <c r="Q261" s="58"/>
      <c r="R261" s="58"/>
      <c r="S261" s="58"/>
      <c r="T261" s="58"/>
    </row>
    <row r="262" spans="1:20" ht="12.75">
      <c r="A262" s="58"/>
      <c r="B262" s="58"/>
      <c r="C262" s="58"/>
      <c r="D262" s="58"/>
      <c r="E262" s="58"/>
      <c r="F262" s="58"/>
      <c r="G262" s="58"/>
      <c r="H262" s="58"/>
      <c r="I262" s="58"/>
      <c r="J262" s="58"/>
      <c r="K262" s="58"/>
      <c r="L262" s="58"/>
      <c r="M262" s="58"/>
      <c r="N262" s="58"/>
      <c r="O262" s="58"/>
      <c r="P262" s="58"/>
      <c r="Q262" s="58"/>
      <c r="R262" s="58"/>
      <c r="S262" s="58"/>
      <c r="T262" s="58"/>
    </row>
    <row r="263" spans="1:20" ht="12.75">
      <c r="A263" s="58"/>
      <c r="B263" s="58"/>
      <c r="C263" s="58"/>
      <c r="D263" s="58"/>
      <c r="E263" s="58"/>
      <c r="F263" s="58"/>
      <c r="G263" s="58"/>
      <c r="H263" s="58"/>
      <c r="I263" s="58"/>
      <c r="J263" s="58"/>
      <c r="K263" s="58"/>
      <c r="L263" s="58"/>
      <c r="M263" s="58"/>
      <c r="N263" s="58"/>
      <c r="O263" s="58"/>
      <c r="P263" s="58"/>
      <c r="Q263" s="58"/>
      <c r="R263" s="58"/>
      <c r="S263" s="58"/>
      <c r="T263" s="58"/>
    </row>
    <row r="264" spans="1:20" ht="12.75">
      <c r="A264" s="58"/>
      <c r="B264" s="58"/>
      <c r="C264" s="58"/>
      <c r="D264" s="58"/>
      <c r="E264" s="58"/>
      <c r="F264" s="58"/>
      <c r="G264" s="58"/>
      <c r="H264" s="58"/>
      <c r="I264" s="58"/>
      <c r="J264" s="58"/>
      <c r="K264" s="58"/>
      <c r="L264" s="58"/>
      <c r="M264" s="58"/>
      <c r="N264" s="58"/>
      <c r="O264" s="58"/>
      <c r="P264" s="58"/>
      <c r="Q264" s="58"/>
      <c r="R264" s="58"/>
      <c r="S264" s="58"/>
      <c r="T264" s="58"/>
    </row>
    <row r="265" spans="1:20" ht="12.75">
      <c r="A265" s="58"/>
      <c r="B265" s="58"/>
      <c r="C265" s="58"/>
      <c r="D265" s="58"/>
      <c r="E265" s="58"/>
      <c r="F265" s="58"/>
      <c r="G265" s="58"/>
      <c r="H265" s="58"/>
      <c r="I265" s="58"/>
      <c r="J265" s="58"/>
      <c r="K265" s="58"/>
      <c r="L265" s="58"/>
      <c r="M265" s="58"/>
      <c r="N265" s="58"/>
      <c r="O265" s="58"/>
      <c r="P265" s="58"/>
      <c r="Q265" s="58"/>
      <c r="R265" s="58"/>
      <c r="S265" s="58"/>
      <c r="T265" s="58"/>
    </row>
    <row r="266" spans="1:20" ht="12.75">
      <c r="A266" s="58"/>
      <c r="B266" s="58"/>
      <c r="C266" s="58"/>
      <c r="D266" s="58"/>
      <c r="E266" s="58"/>
      <c r="F266" s="58"/>
      <c r="G266" s="58"/>
      <c r="H266" s="58"/>
      <c r="I266" s="58"/>
      <c r="J266" s="58"/>
      <c r="K266" s="58"/>
      <c r="L266" s="58"/>
      <c r="M266" s="58"/>
      <c r="N266" s="58"/>
      <c r="O266" s="58"/>
      <c r="P266" s="58"/>
      <c r="Q266" s="58"/>
      <c r="R266" s="58"/>
      <c r="S266" s="58"/>
      <c r="T266" s="58"/>
    </row>
    <row r="267" spans="1:20" ht="12.75">
      <c r="A267" s="58"/>
      <c r="B267" s="58"/>
      <c r="C267" s="58"/>
      <c r="D267" s="58"/>
      <c r="E267" s="58"/>
      <c r="F267" s="58"/>
      <c r="G267" s="58"/>
      <c r="H267" s="58"/>
      <c r="I267" s="58"/>
      <c r="J267" s="58"/>
      <c r="K267" s="58"/>
      <c r="L267" s="58"/>
      <c r="M267" s="58"/>
      <c r="N267" s="58"/>
      <c r="O267" s="58"/>
      <c r="P267" s="58"/>
      <c r="Q267" s="58"/>
      <c r="R267" s="58"/>
      <c r="S267" s="58"/>
      <c r="T267" s="58"/>
    </row>
    <row r="268" spans="1:20" ht="12.75">
      <c r="A268" s="58"/>
      <c r="B268" s="58"/>
      <c r="C268" s="58"/>
      <c r="D268" s="58"/>
      <c r="E268" s="58"/>
      <c r="F268" s="58"/>
      <c r="G268" s="58"/>
      <c r="H268" s="58"/>
      <c r="I268" s="58"/>
      <c r="J268" s="58"/>
      <c r="K268" s="58"/>
      <c r="L268" s="58"/>
      <c r="M268" s="58"/>
      <c r="N268" s="58"/>
      <c r="O268" s="58"/>
      <c r="P268" s="58"/>
      <c r="Q268" s="58"/>
      <c r="R268" s="58"/>
      <c r="S268" s="58"/>
      <c r="T268" s="58"/>
    </row>
    <row r="269" spans="1:20" ht="12.75">
      <c r="A269" s="58"/>
      <c r="B269" s="58"/>
      <c r="C269" s="58"/>
      <c r="D269" s="58"/>
      <c r="E269" s="58"/>
      <c r="F269" s="58"/>
      <c r="G269" s="58"/>
      <c r="H269" s="58"/>
      <c r="I269" s="58"/>
      <c r="J269" s="58"/>
      <c r="K269" s="58"/>
      <c r="L269" s="58"/>
      <c r="M269" s="58"/>
      <c r="N269" s="58"/>
      <c r="O269" s="58"/>
      <c r="P269" s="58"/>
      <c r="Q269" s="58"/>
      <c r="R269" s="58"/>
      <c r="S269" s="58"/>
      <c r="T269" s="58"/>
    </row>
    <row r="270" spans="1:20" ht="12.75">
      <c r="A270" s="58"/>
      <c r="B270" s="58"/>
      <c r="C270" s="58"/>
      <c r="D270" s="58"/>
      <c r="E270" s="58"/>
      <c r="F270" s="58"/>
      <c r="G270" s="58"/>
      <c r="H270" s="58"/>
      <c r="I270" s="58"/>
      <c r="J270" s="58"/>
      <c r="K270" s="58"/>
      <c r="L270" s="58"/>
      <c r="M270" s="58"/>
      <c r="N270" s="58"/>
      <c r="O270" s="58"/>
      <c r="P270" s="58"/>
      <c r="Q270" s="58"/>
      <c r="R270" s="58"/>
      <c r="S270" s="58"/>
      <c r="T270" s="58"/>
    </row>
    <row r="271" spans="1:20" ht="12.75">
      <c r="A271" s="58"/>
      <c r="B271" s="58"/>
      <c r="C271" s="58"/>
      <c r="D271" s="58"/>
      <c r="E271" s="58"/>
      <c r="F271" s="58"/>
      <c r="G271" s="58"/>
      <c r="H271" s="58"/>
      <c r="I271" s="58"/>
      <c r="J271" s="58"/>
      <c r="K271" s="58"/>
      <c r="L271" s="58"/>
      <c r="M271" s="58"/>
      <c r="N271" s="58"/>
      <c r="O271" s="58"/>
      <c r="P271" s="58"/>
      <c r="Q271" s="58"/>
      <c r="R271" s="58"/>
      <c r="S271" s="58"/>
      <c r="T271" s="58"/>
    </row>
    <row r="272" spans="1:20" ht="12.75">
      <c r="A272" s="58"/>
      <c r="B272" s="58"/>
      <c r="C272" s="58"/>
      <c r="D272" s="58"/>
      <c r="E272" s="58"/>
      <c r="F272" s="58"/>
      <c r="G272" s="58"/>
      <c r="H272" s="58"/>
      <c r="I272" s="58"/>
      <c r="J272" s="58"/>
      <c r="K272" s="58"/>
      <c r="L272" s="58"/>
      <c r="M272" s="58"/>
      <c r="N272" s="58"/>
      <c r="O272" s="58"/>
      <c r="P272" s="58"/>
      <c r="Q272" s="58"/>
      <c r="R272" s="58"/>
      <c r="S272" s="58"/>
      <c r="T272" s="58"/>
    </row>
    <row r="273" spans="1:20" ht="12.75">
      <c r="A273" s="58"/>
      <c r="B273" s="58"/>
      <c r="C273" s="58"/>
      <c r="D273" s="58"/>
      <c r="E273" s="58"/>
      <c r="F273" s="58"/>
      <c r="G273" s="58"/>
      <c r="H273" s="58"/>
      <c r="I273" s="58"/>
      <c r="J273" s="58"/>
      <c r="K273" s="58"/>
      <c r="L273" s="58"/>
      <c r="M273" s="58"/>
      <c r="N273" s="58"/>
      <c r="O273" s="58"/>
      <c r="P273" s="58"/>
      <c r="Q273" s="58"/>
      <c r="R273" s="58"/>
      <c r="S273" s="58"/>
      <c r="T273" s="58"/>
    </row>
    <row r="274" spans="1:20" ht="12.75">
      <c r="A274" s="58"/>
      <c r="B274" s="58"/>
      <c r="C274" s="58"/>
      <c r="D274" s="58"/>
      <c r="E274" s="58"/>
      <c r="F274" s="58"/>
      <c r="G274" s="58"/>
      <c r="H274" s="58"/>
      <c r="I274" s="58"/>
      <c r="J274" s="58"/>
      <c r="K274" s="58"/>
      <c r="L274" s="58"/>
      <c r="M274" s="58"/>
      <c r="N274" s="58"/>
      <c r="O274" s="58"/>
      <c r="P274" s="58"/>
      <c r="Q274" s="58"/>
      <c r="R274" s="58"/>
      <c r="S274" s="58"/>
      <c r="T274" s="58"/>
    </row>
    <row r="275" spans="1:20" ht="12.75">
      <c r="A275" s="58"/>
      <c r="B275" s="58"/>
      <c r="C275" s="58"/>
      <c r="D275" s="58"/>
      <c r="E275" s="58"/>
      <c r="F275" s="58"/>
      <c r="G275" s="58"/>
      <c r="H275" s="58"/>
      <c r="I275" s="58"/>
      <c r="J275" s="58"/>
      <c r="K275" s="58"/>
      <c r="L275" s="58"/>
      <c r="M275" s="58"/>
      <c r="N275" s="58"/>
      <c r="O275" s="58"/>
      <c r="P275" s="58"/>
      <c r="Q275" s="58"/>
      <c r="R275" s="58"/>
      <c r="S275" s="58"/>
      <c r="T275" s="58"/>
    </row>
    <row r="276" spans="1:20" ht="12.75">
      <c r="A276" s="58"/>
      <c r="B276" s="58"/>
      <c r="C276" s="58"/>
      <c r="D276" s="58"/>
      <c r="E276" s="58"/>
      <c r="F276" s="58"/>
      <c r="G276" s="58"/>
      <c r="H276" s="58"/>
      <c r="I276" s="58"/>
      <c r="J276" s="58"/>
      <c r="K276" s="58"/>
      <c r="L276" s="58"/>
      <c r="M276" s="58"/>
      <c r="N276" s="58"/>
      <c r="O276" s="58"/>
      <c r="P276" s="58"/>
      <c r="Q276" s="58"/>
      <c r="R276" s="58"/>
      <c r="S276" s="58"/>
      <c r="T276" s="58"/>
    </row>
    <row r="277" spans="1:20" ht="12.75">
      <c r="A277" s="58"/>
      <c r="B277" s="58"/>
      <c r="C277" s="58"/>
      <c r="D277" s="58"/>
      <c r="E277" s="58"/>
      <c r="F277" s="58"/>
      <c r="G277" s="58"/>
      <c r="H277" s="58"/>
      <c r="I277" s="58"/>
      <c r="J277" s="58"/>
      <c r="K277" s="58"/>
      <c r="L277" s="58"/>
      <c r="M277" s="58"/>
      <c r="N277" s="58"/>
      <c r="O277" s="58"/>
      <c r="P277" s="58"/>
      <c r="Q277" s="58"/>
      <c r="R277" s="58"/>
      <c r="S277" s="58"/>
      <c r="T277" s="58"/>
    </row>
    <row r="278" spans="1:20" ht="12.75">
      <c r="A278" s="58"/>
      <c r="B278" s="58"/>
      <c r="C278" s="58"/>
      <c r="D278" s="58"/>
      <c r="E278" s="58"/>
      <c r="F278" s="58"/>
      <c r="G278" s="58"/>
      <c r="H278" s="58"/>
      <c r="I278" s="58"/>
      <c r="J278" s="58"/>
      <c r="K278" s="58"/>
      <c r="L278" s="58"/>
      <c r="M278" s="58"/>
      <c r="N278" s="58"/>
      <c r="O278" s="58"/>
      <c r="P278" s="58"/>
      <c r="Q278" s="58"/>
      <c r="R278" s="58"/>
      <c r="S278" s="58"/>
      <c r="T278" s="58"/>
    </row>
    <row r="279" spans="1:20" ht="12.75">
      <c r="A279" s="58"/>
      <c r="B279" s="58"/>
      <c r="C279" s="58"/>
      <c r="D279" s="58"/>
      <c r="E279" s="58"/>
      <c r="F279" s="58"/>
      <c r="G279" s="58"/>
      <c r="H279" s="58"/>
      <c r="I279" s="58"/>
      <c r="J279" s="58"/>
      <c r="K279" s="58"/>
      <c r="L279" s="58"/>
      <c r="M279" s="58"/>
      <c r="N279" s="58"/>
      <c r="O279" s="58"/>
      <c r="P279" s="58"/>
      <c r="Q279" s="58"/>
      <c r="R279" s="58"/>
      <c r="S279" s="58"/>
      <c r="T279" s="58"/>
    </row>
  </sheetData>
  <sheetProtection/>
  <mergeCells count="11">
    <mergeCell ref="F18:G18"/>
    <mergeCell ref="I13:L13"/>
    <mergeCell ref="I14:L14"/>
    <mergeCell ref="I15:L16"/>
    <mergeCell ref="B2:F2"/>
    <mergeCell ref="F13:G13"/>
    <mergeCell ref="F14:G14"/>
    <mergeCell ref="F15:G15"/>
    <mergeCell ref="F16:G16"/>
    <mergeCell ref="F17:G17"/>
    <mergeCell ref="D8:F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Jamieson</dc:creator>
  <cp:keywords/>
  <dc:description/>
  <cp:lastModifiedBy>Damien Middleditch</cp:lastModifiedBy>
  <cp:lastPrinted>2006-07-19T17:32:19Z</cp:lastPrinted>
  <dcterms:created xsi:type="dcterms:W3CDTF">2003-03-31T18:49:02Z</dcterms:created>
  <dcterms:modified xsi:type="dcterms:W3CDTF">2015-05-13T12:59:42Z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